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2504"/>
  </bookViews>
  <sheets>
    <sheet name="общие сведения" sheetId="6" r:id="rId1"/>
    <sheet name="ЭЗ" sheetId="4" r:id="rId2"/>
    <sheet name="утв" sheetId="7" r:id="rId3"/>
  </sheets>
  <definedNames>
    <definedName name="_72ч">'общие сведения'!$A$176</definedName>
    <definedName name="_ftn1" localSheetId="2">утв!#REF!</definedName>
    <definedName name="_ftn1" localSheetId="1">ЭЗ!#REF!</definedName>
    <definedName name="_ftn2" localSheetId="2">утв!#REF!</definedName>
    <definedName name="_ftn2" localSheetId="1">ЭЗ!#REF!</definedName>
    <definedName name="_ftnref1" localSheetId="2">утв!#REF!</definedName>
    <definedName name="_ftnref1" localSheetId="1">ЭЗ!$B$321</definedName>
    <definedName name="_ftnref2" localSheetId="2">утв!#REF!</definedName>
    <definedName name="_ftnref2" localSheetId="1">ЭЗ!$B$396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утв!$D$41</definedName>
    <definedName name="fio">ЭЗ!$D$41</definedName>
    <definedName name="proverka" localSheetId="2">утв!#REF!</definedName>
    <definedName name="proverka">ЭЗ!$A$514</definedName>
    <definedName name="версия">'общие сведения'!$P$1</definedName>
    <definedName name="всего" localSheetId="2">утв!#REF!</definedName>
    <definedName name="всего">ЭЗ!$H$464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утв!#REF!</definedName>
    <definedName name="итого_1">ЭЗ!$O$103</definedName>
    <definedName name="итого_2" localSheetId="2">утв!#REF!</definedName>
    <definedName name="итого_2">ЭЗ!$O$149</definedName>
    <definedName name="итого_3" localSheetId="2">утв!#REF!</definedName>
    <definedName name="итого_3">ЭЗ!$O$213</definedName>
    <definedName name="_xlnm.Print_Area" localSheetId="0">'общие сведения'!$A$3:$J$113</definedName>
    <definedName name="_xlnm.Print_Area" localSheetId="2">утв!$A$34:$J$99</definedName>
    <definedName name="_xlnm.Print_Area" localSheetId="1">ЭЗ!$A$34:$J$495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calcId="145621"/>
</workbook>
</file>

<file path=xl/calcChain.xml><?xml version="1.0" encoding="utf-8"?>
<calcChain xmlns="http://schemas.openxmlformats.org/spreadsheetml/2006/main">
  <c r="C42" i="4" l="1"/>
  <c r="BJ149" i="4" l="1"/>
  <c r="A34" i="7"/>
  <c r="L96" i="7"/>
  <c r="L94" i="7"/>
  <c r="A59" i="7"/>
  <c r="N30" i="7"/>
  <c r="P30" i="7" s="1"/>
  <c r="L30" i="7"/>
  <c r="N29" i="7"/>
  <c r="P29" i="7"/>
  <c r="L29" i="7"/>
  <c r="N28" i="7"/>
  <c r="P28" i="7" s="1"/>
  <c r="L28" i="7"/>
  <c r="N27" i="7"/>
  <c r="P27" i="7"/>
  <c r="L27" i="7"/>
  <c r="N26" i="7"/>
  <c r="P26" i="7" s="1"/>
  <c r="L26" i="7"/>
  <c r="N25" i="7"/>
  <c r="P25" i="7"/>
  <c r="L25" i="7"/>
  <c r="N24" i="7"/>
  <c r="P24" i="7" s="1"/>
  <c r="L24" i="7"/>
  <c r="N23" i="7"/>
  <c r="P23" i="7"/>
  <c r="L23" i="7"/>
  <c r="N22" i="7"/>
  <c r="P22" i="7"/>
  <c r="L22" i="7"/>
  <c r="N21" i="7"/>
  <c r="P21" i="7" s="1"/>
  <c r="L21" i="7"/>
  <c r="N20" i="7"/>
  <c r="P20" i="7"/>
  <c r="L20" i="7"/>
  <c r="N19" i="7"/>
  <c r="P19" i="7" s="1"/>
  <c r="L19" i="7"/>
  <c r="N18" i="7"/>
  <c r="P18" i="7"/>
  <c r="L18" i="7"/>
  <c r="N17" i="7"/>
  <c r="P17" i="7" s="1"/>
  <c r="L17" i="7"/>
  <c r="N16" i="7"/>
  <c r="P16" i="7"/>
  <c r="L16" i="7"/>
  <c r="N15" i="7"/>
  <c r="P15" i="7" s="1"/>
  <c r="L15" i="7"/>
  <c r="N14" i="7"/>
  <c r="P14" i="7"/>
  <c r="L14" i="7"/>
  <c r="N13" i="7"/>
  <c r="L13" i="7"/>
  <c r="N12" i="7"/>
  <c r="P12" i="7" s="1"/>
  <c r="L12" i="7"/>
  <c r="N11" i="7"/>
  <c r="P11" i="7"/>
  <c r="L11" i="7"/>
  <c r="N10" i="7"/>
  <c r="P10" i="7" s="1"/>
  <c r="L10" i="7"/>
  <c r="N9" i="7"/>
  <c r="P9" i="7"/>
  <c r="L9" i="7"/>
  <c r="N8" i="7"/>
  <c r="P8" i="7" s="1"/>
  <c r="L8" i="7"/>
  <c r="N7" i="7"/>
  <c r="P7" i="7"/>
  <c r="L7" i="7"/>
  <c r="N6" i="7"/>
  <c r="P6" i="7" s="1"/>
  <c r="L6" i="7"/>
  <c r="N5" i="7"/>
  <c r="P5" i="7"/>
  <c r="L5" i="7"/>
  <c r="N4" i="7"/>
  <c r="P4" i="7" s="1"/>
  <c r="L4" i="7"/>
  <c r="N3" i="7"/>
  <c r="P3" i="7"/>
  <c r="L3" i="7"/>
  <c r="K1" i="7"/>
  <c r="K1" i="4"/>
  <c r="L3" i="4"/>
  <c r="N3" i="4"/>
  <c r="P3" i="4"/>
  <c r="L4" i="4"/>
  <c r="N4" i="4"/>
  <c r="P4" i="4" s="1"/>
  <c r="L5" i="4"/>
  <c r="N5" i="4"/>
  <c r="P5" i="4"/>
  <c r="L6" i="4"/>
  <c r="N6" i="4"/>
  <c r="P6" i="4" s="1"/>
  <c r="L7" i="4"/>
  <c r="N7" i="4"/>
  <c r="P7" i="4"/>
  <c r="L8" i="4"/>
  <c r="N8" i="4"/>
  <c r="P8" i="4" s="1"/>
  <c r="L9" i="4"/>
  <c r="N9" i="4"/>
  <c r="P9" i="4"/>
  <c r="L10" i="4"/>
  <c r="N10" i="4"/>
  <c r="P10" i="4" s="1"/>
  <c r="L11" i="4"/>
  <c r="N11" i="4"/>
  <c r="P11" i="4"/>
  <c r="L12" i="4"/>
  <c r="N12" i="4"/>
  <c r="P12" i="4" s="1"/>
  <c r="L13" i="4"/>
  <c r="N13" i="4"/>
  <c r="L14" i="4"/>
  <c r="N14" i="4"/>
  <c r="P14" i="4"/>
  <c r="L15" i="4"/>
  <c r="N15" i="4"/>
  <c r="P15" i="4" s="1"/>
  <c r="L16" i="4"/>
  <c r="N16" i="4"/>
  <c r="P16" i="4" s="1"/>
  <c r="L17" i="4"/>
  <c r="N17" i="4"/>
  <c r="P17" i="4"/>
  <c r="L18" i="4"/>
  <c r="N18" i="4"/>
  <c r="P18" i="4" s="1"/>
  <c r="L19" i="4"/>
  <c r="N19" i="4"/>
  <c r="P19" i="4"/>
  <c r="L20" i="4"/>
  <c r="N20" i="4"/>
  <c r="P20" i="4" s="1"/>
  <c r="L21" i="4"/>
  <c r="N21" i="4"/>
  <c r="P21" i="4"/>
  <c r="L22" i="4"/>
  <c r="N22" i="4"/>
  <c r="P22" i="4" s="1"/>
  <c r="L23" i="4"/>
  <c r="N23" i="4"/>
  <c r="P23" i="4"/>
  <c r="L24" i="4"/>
  <c r="N24" i="4"/>
  <c r="P24" i="4" s="1"/>
  <c r="L25" i="4"/>
  <c r="N25" i="4"/>
  <c r="P25" i="4"/>
  <c r="L26" i="4"/>
  <c r="N26" i="4"/>
  <c r="P26" i="4" s="1"/>
  <c r="L27" i="4"/>
  <c r="N27" i="4"/>
  <c r="P27" i="4"/>
  <c r="L28" i="4"/>
  <c r="N28" i="4"/>
  <c r="P28" i="4" s="1"/>
  <c r="L29" i="4"/>
  <c r="N29" i="4"/>
  <c r="P29" i="4"/>
  <c r="L30" i="4"/>
  <c r="N30" i="4"/>
  <c r="P30" i="4" s="1"/>
  <c r="L94" i="4"/>
  <c r="L96" i="4"/>
  <c r="L187" i="4"/>
  <c r="N401" i="4"/>
  <c r="M483" i="4"/>
  <c r="L25" i="6"/>
  <c r="M25" i="6" s="1"/>
  <c r="D41" i="4"/>
  <c r="E49" i="4" s="1"/>
  <c r="E48" i="4"/>
  <c r="F502" i="4" s="1"/>
  <c r="A502" i="4" s="1"/>
  <c r="E50" i="4"/>
  <c r="F505" i="4" s="1"/>
  <c r="L102" i="6"/>
  <c r="K102" i="6" s="1"/>
  <c r="L100" i="6"/>
  <c r="K100" i="6"/>
  <c r="L98" i="6"/>
  <c r="K98" i="6" s="1"/>
  <c r="M66" i="6"/>
  <c r="L66" i="6"/>
  <c r="A59" i="4"/>
  <c r="L48" i="6"/>
  <c r="L52" i="6"/>
  <c r="A72" i="4"/>
  <c r="A72" i="7" s="1"/>
  <c r="A71" i="4"/>
  <c r="A71" i="7"/>
  <c r="A70" i="4"/>
  <c r="A70" i="7" s="1"/>
  <c r="H71" i="6"/>
  <c r="H70" i="6"/>
  <c r="F79" i="6"/>
  <c r="A80" i="6" s="1"/>
  <c r="M64" i="6"/>
  <c r="A60" i="7"/>
  <c r="L64" i="6"/>
  <c r="K64" i="6"/>
  <c r="K58" i="6"/>
  <c r="L56" i="6"/>
  <c r="K56" i="6"/>
  <c r="K54" i="6"/>
  <c r="K52" i="6"/>
  <c r="K50" i="6"/>
  <c r="K48" i="6"/>
  <c r="A48" i="6"/>
  <c r="M43" i="6"/>
  <c r="L43" i="6"/>
  <c r="K43" i="6"/>
  <c r="J43" i="6"/>
  <c r="F43" i="6"/>
  <c r="N41" i="6"/>
  <c r="O41" i="6" s="1"/>
  <c r="M41" i="6"/>
  <c r="J86" i="6"/>
  <c r="F90" i="6"/>
  <c r="A91" i="6"/>
  <c r="L104" i="6"/>
  <c r="K104" i="6" s="1"/>
  <c r="M104" i="6"/>
  <c r="K33" i="6"/>
  <c r="C36" i="6" s="1"/>
  <c r="K32" i="6"/>
  <c r="L31" i="7" s="1"/>
  <c r="L33" i="6"/>
  <c r="H8" i="6"/>
  <c r="A92" i="6"/>
  <c r="K180" i="6"/>
  <c r="B104" i="6"/>
  <c r="B102" i="6"/>
  <c r="K34" i="6"/>
  <c r="A33" i="6" s="1"/>
  <c r="A36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55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42" i="6"/>
  <c r="H141" i="6"/>
  <c r="H140" i="6"/>
  <c r="H139" i="6"/>
  <c r="H138" i="6"/>
  <c r="H137" i="6"/>
  <c r="E5" i="6"/>
  <c r="E6" i="6"/>
  <c r="E7" i="6"/>
  <c r="E8" i="6"/>
  <c r="E9" i="6"/>
  <c r="E10" i="6"/>
  <c r="E11" i="6"/>
  <c r="E12" i="6"/>
  <c r="E13" i="6"/>
  <c r="E14" i="6"/>
  <c r="E15" i="6"/>
  <c r="E4" i="6"/>
  <c r="F210" i="4"/>
  <c r="L210" i="4" s="1"/>
  <c r="M100" i="6"/>
  <c r="G12" i="6"/>
  <c r="K34" i="4"/>
  <c r="K34" i="7"/>
  <c r="E350" i="4"/>
  <c r="L350" i="4" s="1"/>
  <c r="F87" i="4"/>
  <c r="L168" i="4"/>
  <c r="E419" i="4"/>
  <c r="L419" i="4"/>
  <c r="G178" i="4"/>
  <c r="L178" i="4" s="1"/>
  <c r="I50" i="7"/>
  <c r="G50" i="7"/>
  <c r="J50" i="7"/>
  <c r="G245" i="4"/>
  <c r="L245" i="4"/>
  <c r="F48" i="4"/>
  <c r="E307" i="4"/>
  <c r="L307" i="4"/>
  <c r="E341" i="4"/>
  <c r="L341" i="4" s="1"/>
  <c r="E406" i="4"/>
  <c r="L407" i="4" s="1"/>
  <c r="F198" i="4"/>
  <c r="L198" i="4" s="1"/>
  <c r="C51" i="4"/>
  <c r="A53" i="4"/>
  <c r="E394" i="4"/>
  <c r="L394" i="4"/>
  <c r="A60" i="4"/>
  <c r="K25" i="6"/>
  <c r="F98" i="4" s="1"/>
  <c r="G47" i="4"/>
  <c r="F501" i="4"/>
  <c r="A501" i="4" s="1"/>
  <c r="G236" i="4"/>
  <c r="L236" i="4"/>
  <c r="F452" i="4"/>
  <c r="L452" i="4" s="1"/>
  <c r="F195" i="4"/>
  <c r="L195" i="4"/>
  <c r="F204" i="4"/>
  <c r="L204" i="4" s="1"/>
  <c r="E328" i="4"/>
  <c r="L328" i="4" s="1"/>
  <c r="C45" i="4"/>
  <c r="F500" i="4" s="1"/>
  <c r="A500" i="4" s="1"/>
  <c r="E125" i="4"/>
  <c r="L125" i="4"/>
  <c r="F446" i="4"/>
  <c r="L446" i="4" s="1"/>
  <c r="I50" i="4" l="1"/>
  <c r="J50" i="4"/>
  <c r="I49" i="4"/>
  <c r="F504" i="4" s="1"/>
  <c r="A504" i="4" s="1"/>
  <c r="G50" i="4"/>
  <c r="F503" i="4"/>
  <c r="A503" i="4" s="1"/>
  <c r="F485" i="4"/>
  <c r="F368" i="4"/>
  <c r="L368" i="4" s="1"/>
  <c r="D187" i="4"/>
  <c r="G240" i="4"/>
  <c r="L240" i="4" s="1"/>
  <c r="E299" i="4"/>
  <c r="L299" i="4" s="1"/>
  <c r="G273" i="4"/>
  <c r="L273" i="4" s="1"/>
  <c r="G283" i="4"/>
  <c r="L283" i="4" s="1"/>
  <c r="E122" i="4"/>
  <c r="L122" i="4" s="1"/>
  <c r="F499" i="4"/>
  <c r="A499" i="4" s="1"/>
  <c r="F472" i="4"/>
  <c r="F507" i="4" s="1"/>
  <c r="A507" i="4" s="1"/>
  <c r="F98" i="7"/>
  <c r="G278" i="4"/>
  <c r="L278" i="4" s="1"/>
  <c r="E316" i="4"/>
  <c r="L316" i="4" s="1"/>
  <c r="L263" i="4"/>
  <c r="G268" i="4"/>
  <c r="L268" i="4" s="1"/>
  <c r="F201" i="4"/>
  <c r="L201" i="4" s="1"/>
  <c r="O149" i="4" s="1"/>
  <c r="J71" i="4" s="1"/>
  <c r="F59" i="4"/>
  <c r="F146" i="4"/>
  <c r="L146" i="4" s="1"/>
  <c r="E119" i="4"/>
  <c r="L119" i="4" s="1"/>
  <c r="F476" i="4"/>
  <c r="F498" i="4"/>
  <c r="A498" i="4" s="1"/>
  <c r="A61" i="4"/>
  <c r="E400" i="4"/>
  <c r="L401" i="4" s="1"/>
  <c r="G263" i="4"/>
  <c r="G249" i="4"/>
  <c r="L249" i="4" s="1"/>
  <c r="F435" i="4"/>
  <c r="L435" i="4" s="1"/>
  <c r="D47" i="4"/>
  <c r="F137" i="4"/>
  <c r="L137" i="4" s="1"/>
  <c r="E361" i="4"/>
  <c r="L361" i="4" s="1"/>
  <c r="E379" i="4"/>
  <c r="L379" i="4" s="1"/>
  <c r="F470" i="4"/>
  <c r="F506" i="4" s="1"/>
  <c r="A506" i="4" s="1"/>
  <c r="F85" i="4"/>
  <c r="N31" i="7"/>
  <c r="L32" i="7"/>
  <c r="F474" i="4"/>
  <c r="F508" i="4" s="1"/>
  <c r="A508" i="4" s="1"/>
  <c r="F89" i="4"/>
  <c r="M102" i="6"/>
  <c r="L31" i="4"/>
  <c r="M98" i="6"/>
  <c r="C46" i="4"/>
  <c r="L32" i="6"/>
  <c r="L461" i="4" l="1"/>
  <c r="H464" i="4" s="1"/>
  <c r="O213" i="4"/>
  <c r="J72" i="4" s="1"/>
  <c r="O103" i="4"/>
  <c r="J70" i="4" s="1"/>
  <c r="L177" i="6"/>
  <c r="L178" i="6" s="1"/>
  <c r="C80" i="4" s="1"/>
  <c r="I73" i="4"/>
  <c r="L32" i="4"/>
  <c r="D37" i="6"/>
  <c r="A37" i="6" s="1"/>
  <c r="N31" i="4"/>
  <c r="G479" i="4"/>
  <c r="G466" i="4"/>
  <c r="F509" i="4"/>
  <c r="A509" i="4" s="1"/>
  <c r="A510" i="4" s="1"/>
  <c r="G92" i="4"/>
  <c r="E466" i="4"/>
  <c r="F110" i="6"/>
  <c r="A492" i="4"/>
  <c r="E467" i="4"/>
  <c r="C77" i="4" s="1"/>
  <c r="D76" i="4" l="1"/>
  <c r="B497" i="4"/>
  <c r="A115" i="6"/>
  <c r="A1" i="6" s="1"/>
  <c r="A113" i="6"/>
  <c r="E110" i="6"/>
  <c r="A109" i="6"/>
  <c r="G110" i="6"/>
  <c r="I110" i="6"/>
  <c r="A112" i="6"/>
  <c r="C517" i="4" l="1"/>
  <c r="B516" i="4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образовательного учреждения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кнопкой мыши</t>
        </r>
      </text>
    </comment>
    <comment ref="B48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Например,
</t>
        </r>
        <r>
          <rPr>
            <i/>
            <sz val="9"/>
            <color indexed="81"/>
            <rFont val="Tahoma"/>
            <family val="2"/>
            <charset val="204"/>
          </rPr>
          <t xml:space="preserve">ГОУ ВПО  Гуманитарная академия, г.Москва. Специальность: "Математика", квалификация: учитель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СПО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5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ВО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Академия социального управления, г.Москва.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L32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G146" authorId="1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G20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I20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G229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56" authorId="2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на педагога, аттестующегося    на высшую квалификационную категорию</t>
        </r>
      </text>
    </comment>
    <comment ref="B30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  
</t>
        </r>
        <r>
          <rPr>
            <sz val="9"/>
            <color indexed="81"/>
            <rFont val="Tahoma"/>
            <family val="2"/>
            <charset val="204"/>
          </rPr>
          <t xml:space="preserve"> публикации учитываются в соответствии  с рекомендуемым перечнем.</t>
        </r>
      </text>
    </comment>
    <comment ref="I400" author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№7</t>
        </r>
      </text>
    </comment>
    <comment ref="B428" authorId="3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4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sz val="9"/>
            <color indexed="81"/>
            <rFont val="Tahoma"/>
            <family val="2"/>
            <charset val="204"/>
          </rPr>
          <t xml:space="preserve">   
с 01.09.2013 г. учитываются только дипломы 
</t>
        </r>
      </text>
    </comment>
    <comment ref="I448" authorId="3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2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<sst xmlns="http://schemas.openxmlformats.org/spreadsheetml/2006/main" count="1019" uniqueCount="623">
  <si>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</si>
  <si>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</si>
  <si>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r>
      <t xml:space="preserve">Личное участие в кон- цертно-выставочной деятельности  *             </t>
    </r>
    <r>
      <rPr>
        <sz val="10"/>
        <color indexed="8"/>
        <rFont val="Times New Roman"/>
        <family val="1"/>
        <charset val="204"/>
      </rPr>
      <t xml:space="preserve">  </t>
    </r>
    <r>
      <rPr>
        <i/>
        <sz val="10"/>
        <color indexed="8"/>
        <rFont val="Times New Roman"/>
        <family val="1"/>
        <charset val="204"/>
      </rPr>
      <t xml:space="preserve"> (далее – Прил. № 6)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</si>
  <si>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Участие в подготовке творческих проектов:
</t>
    </r>
    <r>
      <rPr>
        <sz val="10"/>
        <color indexed="8"/>
        <rFont val="Times New Roman"/>
        <family val="1"/>
        <charset val="204"/>
      </rPr>
      <t xml:space="preserve">- организация проведения,
- создание сценария,
- художественное оформление,
- фотосьёмка,
- звукозапись,
- электроакустическое сопровождение и др.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</si>
  <si>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>Руководство методичес- кими объединениями*</t>
    </r>
    <r>
      <rPr>
        <i/>
        <sz val="10"/>
        <rFont val="Times New Roman"/>
        <family val="1"/>
        <charset val="204"/>
      </rPr>
      <t xml:space="preserve">
(далее – Прил. № 6)</t>
    </r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</si>
  <si>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</si>
  <si>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</si>
  <si>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</si>
  <si>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</si>
  <si>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</si>
  <si>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</si>
  <si>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</si>
  <si>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</si>
  <si>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</si>
  <si>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</si>
  <si>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</si>
  <si>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</si>
  <si>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</si>
  <si>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</si>
  <si>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</si>
  <si>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</si>
  <si>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</si>
  <si>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</si>
  <si>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  <charset val="204"/>
      </rPr>
      <t>звания доцента</t>
    </r>
  </si>
  <si>
    <t>диплом, справка об обучении</t>
  </si>
  <si>
    <t xml:space="preserve">Не разрабатывает </t>
  </si>
  <si>
    <t>Не обеспечивается</t>
  </si>
  <si>
    <t xml:space="preserve">Результаты освоения обучающимися образовательных программ по итогам мониторингов, проводимых организацией  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</si>
  <si>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(оценка деятельности педагогического работника на уроке/занятии)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</si>
  <si>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  <charset val="204"/>
      </rPr>
      <t>(методы воспитания)</t>
    </r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</si>
  <si>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</si>
  <si>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</si>
  <si>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</si>
  <si>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</si>
  <si>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</si>
  <si>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</si>
  <si>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</si>
  <si>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</si>
  <si>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</si>
  <si>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</si>
  <si>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</si>
  <si>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</si>
  <si>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</si>
  <si>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</si>
  <si>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</si>
  <si>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</si>
  <si>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</si>
  <si>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</si>
  <si>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</si>
  <si>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</si>
  <si>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</si>
  <si>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</si>
  <si>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</si>
  <si>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</si>
  <si>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</si>
  <si>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</si>
  <si>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</si>
  <si>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</si>
  <si>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</si>
  <si>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</si>
  <si>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</si>
  <si>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</si>
  <si>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</si>
  <si>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</si>
  <si>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</si>
  <si>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</si>
  <si>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</si>
  <si>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</si>
  <si>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</si>
  <si>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</si>
  <si>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</si>
  <si>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</si>
  <si>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</si>
  <si>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</si>
  <si>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</si>
  <si>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</si>
  <si>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</si>
  <si>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</si>
  <si>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</si>
  <si>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</si>
  <si>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</si>
  <si>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</si>
  <si>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</si>
  <si>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</si>
  <si>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</si>
  <si>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</si>
  <si>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</si>
  <si>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</si>
  <si>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</si>
  <si>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</si>
  <si>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</si>
  <si>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</si>
  <si>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</si>
  <si>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</si>
  <si>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</si>
  <si>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</si>
  <si>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</si>
  <si>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</si>
  <si>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</si>
  <si>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</si>
  <si>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</si>
  <si>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</si>
  <si>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</si>
  <si>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</si>
  <si>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</si>
  <si>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</si>
  <si>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</si>
  <si>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</si>
  <si>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</si>
  <si>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</si>
  <si>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</si>
  <si>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</si>
  <si>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</si>
  <si>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</si>
  <si>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</si>
  <si>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</si>
  <si>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</si>
  <si>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</si>
  <si>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</si>
  <si>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</si>
  <si>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</si>
  <si>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</si>
  <si>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</si>
  <si>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</si>
  <si>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</si>
  <si>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</si>
  <si>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</si>
  <si>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</si>
  <si>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</si>
  <si>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</si>
  <si>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</si>
  <si>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</si>
  <si>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</si>
  <si>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</si>
  <si>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</si>
  <si>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</si>
  <si>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  <charset val="204"/>
      </rPr>
      <t>)</t>
    </r>
  </si>
  <si>
    <r>
      <t>(баллы не суммируются</t>
    </r>
    <r>
      <rPr>
        <sz val="10"/>
        <rFont val="Times New Roman"/>
        <family val="1"/>
        <charset val="204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</si>
  <si>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</si>
  <si>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</si>
  <si>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</si>
  <si>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</si>
  <si>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</si>
  <si>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</si>
  <si>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</si>
  <si>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участие - 30б.</t>
  </si>
  <si>
    <t>участие - 10б.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</si>
  <si>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</si>
  <si>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</si>
  <si>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</si>
  <si>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</si>
  <si>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</si>
  <si>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</si>
  <si>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</si>
  <si>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</si>
  <si>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</si>
  <si>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</si>
  <si>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</si>
  <si>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</si>
  <si>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</si>
  <si>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</si>
  <si>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</si>
  <si>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</si>
  <si>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</si>
  <si>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</si>
  <si>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</si>
  <si>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</si>
  <si>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</si>
  <si>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</si>
  <si>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</si>
  <si>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</si>
  <si>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</si>
  <si>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</si>
  <si>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</si>
  <si>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</si>
  <si>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</si>
  <si>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</si>
  <si>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</si>
  <si>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</si>
  <si>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</si>
  <si>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участие - 50б.</t>
  </si>
  <si>
    <t>Уровень квалификации</t>
  </si>
  <si>
    <t>участие - 20б.</t>
  </si>
  <si>
    <t>20-50</t>
  </si>
  <si>
    <t>50-150</t>
  </si>
  <si>
    <t xml:space="preserve">Не 
обучается
</t>
  </si>
  <si>
    <t>Не 
обучается</t>
  </si>
  <si>
    <t>сентября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</si>
  <si>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</si>
  <si>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</si>
  <si>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</si>
  <si>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</si>
  <si>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</si>
  <si>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</si>
  <si>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</si>
  <si>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</si>
  <si>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</si>
  <si>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</si>
  <si>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</si>
  <si>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</si>
  <si>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</si>
  <si>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</si>
  <si>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</si>
  <si>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</si>
  <si>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</si>
  <si>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</si>
  <si>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</si>
  <si>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</si>
  <si>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</si>
  <si>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</si>
  <si>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</si>
  <si>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</si>
  <si>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</si>
  <si>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</si>
  <si>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</si>
  <si>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</si>
  <si>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</si>
  <si>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</si>
  <si>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</si>
  <si>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</si>
  <si>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</si>
  <si>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</si>
  <si>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</si>
  <si>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</si>
  <si>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</si>
  <si>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</si>
  <si>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</si>
  <si>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</si>
  <si>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</si>
  <si>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</si>
  <si>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</si>
  <si>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</si>
  <si>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</si>
  <si>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</si>
  <si>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</si>
  <si>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</si>
  <si>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</si>
  <si>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</si>
  <si>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</si>
  <si>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</si>
  <si>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</si>
  <si>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</si>
  <si>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</si>
  <si>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</si>
  <si>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</si>
  <si>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</si>
  <si>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</si>
  <si>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  <charset val="204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</si>
  <si>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</si>
  <si>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</si>
  <si>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</si>
  <si>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</si>
  <si>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</si>
  <si>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</si>
  <si>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</si>
  <si>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</si>
  <si>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</si>
  <si>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</si>
  <si>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</si>
  <si>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</si>
  <si>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</si>
  <si>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1 конк.- 20б</t>
  </si>
  <si>
    <t>1 конк.- 30б</t>
  </si>
  <si>
    <t>1 конк.- 50б</t>
  </si>
  <si>
    <t>30-70</t>
  </si>
  <si>
    <t>участие - 40б.</t>
  </si>
  <si>
    <t>40-100</t>
  </si>
  <si>
    <r>
      <t xml:space="preserve">Участие в профессио- нальных конкурсах педагогического мастерства* 
</t>
    </r>
    <r>
      <rPr>
        <i/>
        <sz val="10"/>
        <rFont val="Times New Roman"/>
        <family val="1"/>
        <charset val="204"/>
      </rPr>
      <t/>
    </r>
  </si>
  <si>
    <t>2конк. -60б. 
3 и более -70</t>
  </si>
  <si>
    <t>1 конк.- 70б</t>
  </si>
  <si>
    <t>2 конк. - 80б
3 конк. - 90б</t>
  </si>
  <si>
    <t>4и более-100</t>
  </si>
  <si>
    <t>4и более-150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</si>
  <si>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</si>
  <si>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</si>
  <si>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</si>
  <si>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</si>
  <si>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</si>
  <si>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150-200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</si>
  <si>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</si>
  <si>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</si>
  <si>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</si>
  <si>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</si>
  <si>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</si>
  <si>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</si>
  <si>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</si>
  <si>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</si>
  <si>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</si>
  <si>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</si>
  <si>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</si>
  <si>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</si>
  <si>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  <charset val="204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</si>
  <si>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</si>
  <si>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  <charset val="204"/>
      </rPr>
      <t>1 год – 300 б.
2 года – 400 б.
3 и более – 500 б.</t>
    </r>
  </si>
  <si>
    <t>100-250</t>
  </si>
  <si>
    <t>300-500</t>
  </si>
  <si>
    <t>216 ч.</t>
  </si>
  <si>
    <t>Программа
 не соответствует Примерным требованиям к программам дополнительного образования детей</t>
  </si>
  <si>
    <t>Программа соответствует Примерным требованиям к программам дополнительного образования детей 
не в полном объеме</t>
  </si>
  <si>
    <t>Программа соответствует Примерным требованиям к программам дополнительного образования детей  
в полном объеме</t>
  </si>
  <si>
    <t>(баллы не суммируются)</t>
  </si>
  <si>
    <t>Обеспечивается 
не в полном объеме</t>
  </si>
  <si>
    <t>Обеспечивается 
в полном объеме</t>
  </si>
  <si>
    <t xml:space="preserve">10-30  </t>
  </si>
  <si>
    <t>70-150</t>
  </si>
  <si>
    <t>100-200</t>
  </si>
  <si>
    <t>Муниципал.</t>
  </si>
  <si>
    <t>Региональн.</t>
  </si>
  <si>
    <t>2 и более - 200б</t>
  </si>
  <si>
    <t>8 и более - 50б</t>
  </si>
  <si>
    <t>3 и более - 150б</t>
  </si>
  <si>
    <t>Междунар.</t>
  </si>
  <si>
    <r>
      <t>(баллы  суммируются</t>
    </r>
    <r>
      <rPr>
        <sz val="10"/>
        <rFont val="Times New Roman"/>
        <family val="1"/>
        <charset val="204"/>
      </rPr>
      <t>)</t>
    </r>
  </si>
  <si>
    <t>Нет</t>
  </si>
  <si>
    <t xml:space="preserve">Менее 50% </t>
  </si>
  <si>
    <t xml:space="preserve">От 50  до 80 % </t>
  </si>
  <si>
    <t>80 %  и более</t>
  </si>
  <si>
    <t xml:space="preserve"> 50 -100 </t>
  </si>
  <si>
    <t>Учреждения среднего профессионального образования
1 поступ. – 50б.
2 и более – 100б.</t>
  </si>
  <si>
    <r>
      <t xml:space="preserve">   </t>
    </r>
    <r>
      <rPr>
        <sz val="8"/>
        <rFont val="Times New Roman"/>
        <family val="1"/>
        <charset val="204"/>
      </rPr>
      <t xml:space="preserve">           </t>
    </r>
    <r>
      <rPr>
        <sz val="10"/>
        <rFont val="Times New Roman"/>
        <family val="1"/>
        <charset val="204"/>
      </rPr>
      <t>Эксперт</t>
    </r>
    <r>
      <rPr>
        <sz val="3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</si>
  <si>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</si>
  <si>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</si>
  <si>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</si>
  <si>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</si>
  <si>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</si>
  <si>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</si>
  <si>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</si>
  <si>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</si>
  <si>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</si>
  <si>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</si>
  <si>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</si>
  <si>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</si>
  <si>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</si>
  <si>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</si>
  <si>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</si>
  <si>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</si>
  <si>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</si>
  <si>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 xml:space="preserve">Получить  дополнительное профессиональное образование по направлению подготовки "Образование и педагогика". </t>
  </si>
  <si>
    <t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t>
  </si>
  <si>
    <t>.</t>
  </si>
  <si>
    <r>
      <t xml:space="preserve">Обучение в вузе/ сузе </t>
    </r>
    <r>
      <rPr>
        <sz val="10"/>
        <rFont val="Times New Roman"/>
        <family val="1"/>
        <charset val="204"/>
      </rPr>
      <t>(профессиональное/педагогическое образование)</t>
    </r>
  </si>
  <si>
    <t>Учреждения высшего профессионального образования 
1 поступ. – 150б.
2 и более – 200б.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</si>
  <si>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</si>
  <si>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</si>
  <si>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</si>
  <si>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</si>
  <si>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</si>
  <si>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</si>
  <si>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</si>
  <si>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</si>
  <si>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</si>
  <si>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</si>
  <si>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</si>
  <si>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</si>
  <si>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</si>
  <si>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</si>
  <si>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</si>
  <si>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</si>
  <si>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</si>
  <si>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</si>
  <si>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</si>
  <si>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</si>
  <si>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</si>
  <si>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</si>
  <si>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</si>
  <si>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</si>
  <si>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</si>
  <si>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</si>
  <si>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</si>
  <si>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</si>
  <si>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</si>
  <si>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</si>
  <si>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</si>
  <si>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</si>
  <si>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</si>
  <si>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 поб./пр.- 100б</t>
  </si>
  <si>
    <t>1 поб./пр.- 170б</t>
  </si>
  <si>
    <t xml:space="preserve">3-7 поб./пр.- 40б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</si>
  <si>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</si>
  <si>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</si>
  <si>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>Копии приказов или справок</t>
  </si>
  <si>
    <t>Не руководит</t>
  </si>
  <si>
    <t>Муниципальный/зонал.</t>
  </si>
  <si>
    <t>/районный уровень</t>
  </si>
  <si>
    <t xml:space="preserve"> 10-20 </t>
  </si>
  <si>
    <t>1-2 меропр.- 40б.</t>
  </si>
  <si>
    <t>2 конк.-120
3 конк.-140</t>
  </si>
  <si>
    <t>1 конк.-100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</si>
  <si>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</si>
  <si>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</si>
  <si>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</si>
  <si>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</si>
  <si>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</si>
  <si>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</si>
  <si>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</si>
  <si>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</si>
  <si>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</si>
  <si>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</si>
  <si>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</si>
  <si>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</si>
  <si>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</si>
  <si>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</si>
  <si>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</si>
  <si>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</si>
  <si>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
</t>
  </si>
  <si>
    <t>год</t>
  </si>
  <si>
    <t>10 - 50</t>
  </si>
  <si>
    <t>1.1.</t>
  </si>
  <si>
    <t>1.2.</t>
  </si>
  <si>
    <t>1.3.</t>
  </si>
  <si>
    <r>
      <t xml:space="preserve">Результаты участия обучающихся  в конкур-
сах, выставках, фестива-
лях, олимпиадах, конфе-
ренциях  и др. (по напра-
влению деятельности)
</t>
    </r>
    <r>
      <rPr>
        <i/>
        <sz val="10"/>
        <rFont val="Times New Roman"/>
        <family val="1"/>
        <charset val="204"/>
      </rPr>
      <t>(далее – Прил. № 2)</t>
    </r>
    <r>
      <rPr>
        <i/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Примечание: 
баллы за участие даются только при отсутствии победителей и призеров</t>
    </r>
  </si>
  <si>
    <t>Разрабатывает периодически</t>
  </si>
  <si>
    <t>Разрабатывает систематически</t>
  </si>
  <si>
    <t>1.4.</t>
  </si>
  <si>
    <t>1.5.</t>
  </si>
  <si>
    <t>Уровень освоения обучающимися 
образовательных программ</t>
  </si>
  <si>
    <t>Низкий</t>
  </si>
  <si>
    <t>Средний 
50б.</t>
  </si>
  <si>
    <t>Высокий 
100б.</t>
  </si>
  <si>
    <t>Положительная динамика результатов</t>
  </si>
  <si>
    <t>стабильные - 50б.
стабильно высокие - 100б.</t>
  </si>
  <si>
    <t>2-3 года - 70б.
4 года и более - 120б.</t>
  </si>
  <si>
    <t>(далее – Прил. № 1)</t>
  </si>
  <si>
    <t xml:space="preserve">Динамика результатов освоения обучающи-
мися образовательных программ по итогам мониторингов, проводимых организацией  </t>
  </si>
  <si>
    <t xml:space="preserve">
Стабильные результаты </t>
  </si>
  <si>
    <t xml:space="preserve">
Отрица-
тельная динамика результатов</t>
  </si>
  <si>
    <t xml:space="preserve">Диаграммы, графики и другие документы, отражающие результаты </t>
  </si>
  <si>
    <t xml:space="preserve">Диаграммы, графики и др.документы, отражающие динамику результатов 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</si>
  <si>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</si>
  <si>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</si>
  <si>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</si>
  <si>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</si>
  <si>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</si>
  <si>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</si>
  <si>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t>Муницип.</t>
  </si>
  <si>
    <t>1-2 чел.- 10б.
3-7 чел.- 20б.
8 и более - 30б.</t>
  </si>
  <si>
    <t>1-2 чел.- 30б.
3-7 чел.- 40б.
8 и более - 50б.</t>
  </si>
  <si>
    <t>1-2 чел.- 50б.
3-7 чел.- 60б.
8 и более - 70б.</t>
  </si>
  <si>
    <t>(далее – Прил. № 2)</t>
  </si>
  <si>
    <r>
      <t>Наличие почетных званий детского коллектива *</t>
    </r>
    <r>
      <rPr>
        <b/>
        <i/>
        <sz val="10"/>
        <rFont val="Times New Roman"/>
        <family val="1"/>
        <charset val="204"/>
      </rPr>
      <t xml:space="preserve">
</t>
    </r>
  </si>
  <si>
    <t>2.4.</t>
  </si>
  <si>
    <t>2.5.</t>
  </si>
  <si>
    <t>70 - 120</t>
  </si>
  <si>
    <t>50 - 100</t>
  </si>
  <si>
    <r>
      <t>Участие обучающихся в массовых мероприятиях: торжественные вечера, концерты, фестивали, конкурсы и др. (в рамках образоват. программы)</t>
    </r>
    <r>
      <rPr>
        <sz val="3"/>
        <rFont val="Times New Roman"/>
        <family val="1"/>
        <charset val="204"/>
      </rPr>
      <t xml:space="preserve"> 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</si>
  <si>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>2.6.</t>
  </si>
  <si>
    <t>2.7.</t>
  </si>
  <si>
    <t>2.8.</t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</si>
  <si>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</si>
  <si>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</si>
  <si>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</si>
  <si>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</si>
  <si>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</si>
  <si>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</si>
  <si>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</si>
  <si>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</si>
  <si>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</si>
  <si>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</si>
  <si>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</si>
  <si>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</si>
  <si>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</si>
  <si>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</si>
  <si>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</si>
  <si>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</si>
  <si>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</si>
  <si>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</si>
  <si>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</si>
  <si>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</si>
  <si>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</si>
  <si>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</si>
  <si>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</si>
  <si>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Уровень обр. 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</si>
  <si>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</si>
  <si>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</si>
  <si>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</si>
  <si>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</si>
  <si>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</si>
  <si>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</si>
  <si>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</si>
  <si>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</si>
  <si>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</si>
  <si>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</si>
  <si>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</si>
  <si>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</si>
  <si>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r>
      <t>Проведение открытых уроков, занятий,   мастер-классов и др.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</si>
  <si>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(далее – Прил. № 6)</t>
  </si>
  <si>
    <r>
      <t xml:space="preserve">Научные, научно-методические и учебно-методические публикации, в том числе в электронной версии на сайте профильных издательств  *
</t>
    </r>
    <r>
      <rPr>
        <i/>
        <sz val="10"/>
        <rFont val="Times New Roman"/>
        <family val="1"/>
        <charset val="204"/>
      </rPr>
      <t/>
    </r>
  </si>
  <si>
    <t>(за исключением вопросов организационного характера) и др.
(далее – Прил. № 6)</t>
  </si>
  <si>
    <t>Не осуществ.</t>
  </si>
  <si>
    <t>Осуществляется приодически</t>
  </si>
  <si>
    <t>Осуществляется 
 систематически</t>
  </si>
  <si>
    <t>Осуществляется системно, комплексно</t>
  </si>
  <si>
    <t>ЭЗ!F347=0;ЭЗ!F358=0;G364&lt;&gt;100</t>
  </si>
  <si>
    <r>
      <t xml:space="preserve">Проведение родительских собраний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</si>
  <si>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 xml:space="preserve">
Программа 
ВПО/ ПП освоена полностью
</t>
  </si>
  <si>
    <t>Обучение в аспиранту- 
ре, соиска-
тельство</t>
  </si>
  <si>
    <r>
      <t xml:space="preserve"> -  Второе профессиональное образование 
(ВПО) *</t>
    </r>
    <r>
      <rPr>
        <sz val="8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 xml:space="preserve"> -  профессиональная переподготовка (ПП) *</t>
    </r>
  </si>
  <si>
    <r>
      <t xml:space="preserve">Результаты поступлений обучающихся в ссузы и вузы по специальностям сферы культуры и искусств *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</si>
  <si>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r>
      <t xml:space="preserve">Внеучебная деятель- ность с обучающимися:
</t>
    </r>
    <r>
      <rPr>
        <sz val="10"/>
        <color indexed="8"/>
        <rFont val="Times New Roman"/>
        <family val="1"/>
        <charset val="204"/>
      </rPr>
      <t xml:space="preserve">- посещение музеев, кон-
цертов, конкурсов, фести-
валей, выставок;
- встречи с исполнителями;
- другое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</si>
  <si>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 xml:space="preserve">Выступления на научно-практических конферен-
циях, педагогических чтениях, семинарах, сек-
циях, метод.объединен.  </t>
    </r>
    <r>
      <rPr>
        <i/>
        <sz val="11"/>
        <rFont val="Times New Roman"/>
        <family val="1"/>
        <charset val="204"/>
      </rPr>
      <t/>
    </r>
  </si>
  <si>
    <t>ч.   повышения квалификации</t>
  </si>
  <si>
    <t>документы о получении  ВПО, ПП (в соответствии с занимаемой должностью, справки об обучении</t>
  </si>
  <si>
    <t>5.</t>
  </si>
  <si>
    <r>
      <t>Участие в проектно-исследовательской, опытно-эксперименталь- ной и др. научной и публичной деятельности (в т.ч. работа в жюри конкурсов, фестивалей, выставок, олимпиад, экспертных комиссиях)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</si>
  <si>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Продуктивность личного вклада пед. работника в повышение качества образования</t>
  </si>
  <si>
    <r>
      <t xml:space="preserve">Методы организации деятельности  
</t>
    </r>
    <r>
      <rPr>
        <i/>
        <sz val="10"/>
        <rFont val="Times New Roman"/>
        <family val="1"/>
        <charset val="204"/>
      </rPr>
      <t>(оценка деятельности педагогического работника  через деятельность обучающихся/ воспитанников на уроке/занятии)</t>
    </r>
  </si>
  <si>
    <t>государственных, муниципальных и частных образовательных организаций Московской области</t>
  </si>
  <si>
    <t>Общие сведения об аттестуемом педагогическом работнике</t>
  </si>
  <si>
    <t>1. итого =</t>
  </si>
  <si>
    <t xml:space="preserve">2. </t>
  </si>
  <si>
    <t>3. итого =</t>
  </si>
  <si>
    <t xml:space="preserve">3. </t>
  </si>
  <si>
    <t>Освоение индивидуаль-
ной программы повы-
шения квалификации в полном объеме</t>
  </si>
  <si>
    <t>грамоты, дипломы, благодарности и др.</t>
  </si>
  <si>
    <t>Выписки из приказов, оформлен-
ные экспертные заключения</t>
  </si>
  <si>
    <t>Грамоты, дипломы</t>
  </si>
  <si>
    <t>Сертифи-
каты, дипломы
 и др.</t>
  </si>
  <si>
    <r>
      <t>Наличие обучающихся – именных стипендиатов*</t>
    </r>
    <r>
      <rPr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 xml:space="preserve">(далее – Прил. № 2)
</t>
    </r>
    <r>
      <rPr>
        <b/>
        <i/>
        <sz val="10"/>
        <rFont val="Times New Roman"/>
        <family val="1"/>
        <charset val="204"/>
      </rPr>
      <t>Подтвержд.документы:</t>
    </r>
    <r>
      <rPr>
        <i/>
        <sz val="10"/>
        <rFont val="Times New Roman"/>
        <family val="1"/>
        <charset val="204"/>
      </rPr>
      <t xml:space="preserve">
оригинал/копия свидетель-
ства / сертификата  именного стипендиата</t>
    </r>
  </si>
  <si>
    <t>Оригинал/ копия свидетельства Министерства образования, Министерства культуры (федеральн. и региональн.уровней) 
о присвоении почетного звания.</t>
  </si>
  <si>
    <t>РЕЗУЛЬТАТЫ  ПРОФЕССИОНАЛЬНОЙ  ДЕЯТЕЛЬНОСТИ</t>
  </si>
  <si>
    <t>Специализация</t>
  </si>
  <si>
    <t>Специалисты 
экспертной группы: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</si>
  <si>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</si>
  <si>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</si>
  <si>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</si>
  <si>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</si>
  <si>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</si>
  <si>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</si>
  <si>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</si>
  <si>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 xml:space="preserve">Экспертное заключение   
об уровне квалификации   
педагогического работника 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</si>
  <si>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</si>
  <si>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</si>
  <si>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</si>
  <si>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</si>
  <si>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</si>
  <si>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</si>
  <si>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</si>
  <si>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</si>
  <si>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</si>
  <si>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</si>
  <si>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</si>
  <si>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</si>
  <si>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</si>
  <si>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</si>
  <si>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</si>
  <si>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</si>
  <si>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</si>
  <si>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</si>
  <si>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</si>
  <si>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</si>
  <si>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</si>
  <si>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</si>
  <si>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</si>
  <si>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</si>
  <si>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</si>
  <si>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</si>
  <si>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</si>
  <si>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</si>
  <si>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</si>
  <si>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</si>
  <si>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</si>
  <si>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</si>
  <si>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</si>
  <si>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</si>
  <si>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 xml:space="preserve">1. </t>
  </si>
  <si>
    <t>Перейти на лист "общие сведения"</t>
  </si>
  <si>
    <t>в конец ЭЗ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</si>
  <si>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</si>
  <si>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t xml:space="preserve"> Освоено 
менее 50% программы  ВПО/ ПП</t>
  </si>
  <si>
    <t>Освоено 
более 50% программы  ВПО/ ПП</t>
  </si>
  <si>
    <t>Наличие степени доктора наук,  звания профессора</t>
  </si>
  <si>
    <t>Муниципал уровень</t>
  </si>
  <si>
    <t>Дополнительное профессиональное образование (по направлению "Образование и педагогика" либо в области, соотв.  преподаваемому предмету):</t>
  </si>
  <si>
    <t xml:space="preserve"> преподавателя  ДШИ и других школ по видам искусств</t>
  </si>
  <si>
    <t>утв</t>
  </si>
  <si>
    <t>об уровне квалификации   педагогического работника  
(преподаватель детской школы искусств и других школ по видам искусств)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</si>
  <si>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</si>
  <si>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</si>
  <si>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</si>
  <si>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</si>
  <si>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</si>
  <si>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</si>
  <si>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</si>
  <si>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В течение одного года пройти обучение по программе повышения квалификации.</t>
  </si>
  <si>
    <t>Волоколамский</t>
  </si>
  <si>
    <t>Чехов</t>
  </si>
  <si>
    <t>Ступино</t>
  </si>
  <si>
    <t xml:space="preserve">Осуществляется частично </t>
  </si>
  <si>
    <t>ЭКСПЕРТНОЕ ЗАКЛЮЧЕНИЕ</t>
  </si>
  <si>
    <r>
      <t xml:space="preserve">Качество разработанных педагогическим  работником дополнительных образовательных программ 
</t>
    </r>
    <r>
      <rPr>
        <sz val="11"/>
        <rFont val="Times New Roman"/>
        <family val="1"/>
        <charset val="204"/>
      </rPr>
      <t xml:space="preserve">
</t>
    </r>
  </si>
  <si>
    <t xml:space="preserve">Обеспечение выполнения дополнительной образовательной программы
</t>
  </si>
  <si>
    <r>
      <t xml:space="preserve">Разработка учебно-методических, дидактических материалов  
</t>
    </r>
    <r>
      <rPr>
        <i/>
        <sz val="10"/>
        <rFont val="Times New Roman"/>
        <family val="1"/>
        <charset val="204"/>
      </rPr>
      <t>(далее – Прил. № 1)</t>
    </r>
  </si>
  <si>
    <r>
      <t xml:space="preserve">Здоровьесберегающая организация урока/ занятия/ мероприятия с учетом требований СанПиНов
</t>
    </r>
    <r>
      <rPr>
        <i/>
        <sz val="10"/>
        <rFont val="Times New Roman"/>
        <family val="1"/>
        <charset val="204"/>
      </rPr>
      <t>(далее – Прил. № 3)</t>
    </r>
  </si>
  <si>
    <r>
      <t>Обеспечение сохранности контингента обучающихся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2)</t>
    </r>
    <r>
      <rPr>
        <sz val="11"/>
        <rFont val="Times New Roman"/>
        <family val="1"/>
        <charset val="204"/>
      </rPr>
      <t xml:space="preserve">
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</si>
  <si>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</si>
  <si>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</si>
  <si>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</si>
  <si>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</si>
  <si>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</si>
  <si>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</si>
  <si>
    <r>
      <t xml:space="preserve">Участие в деятельности профессиональных ассоциаций *
</t>
    </r>
    <r>
      <rPr>
        <i/>
        <sz val="10"/>
        <color indexed="8"/>
        <rFont val="Times New Roman"/>
        <family val="1"/>
        <charset val="204"/>
      </rPr>
      <t xml:space="preserve">(далее – Прил. № 6) </t>
    </r>
    <r>
      <rPr>
        <sz val="11"/>
        <color indexed="8"/>
        <rFont val="Times New Roman"/>
        <family val="1"/>
        <charset val="204"/>
      </rPr>
      <t xml:space="preserve">
</t>
    </r>
  </si>
  <si>
    <t>Удосто- верения 
и др.</t>
  </si>
  <si>
    <t>30б.</t>
  </si>
  <si>
    <t>40б.</t>
  </si>
  <si>
    <t>50б.</t>
  </si>
  <si>
    <t>70б.</t>
  </si>
  <si>
    <t>100б.</t>
  </si>
  <si>
    <t xml:space="preserve">  ЭЗ - 2018 г.</t>
  </si>
  <si>
    <t>городской округ</t>
  </si>
  <si>
    <t>1-2 поб./пр.- 40б</t>
  </si>
  <si>
    <t>6 и более - 100б</t>
  </si>
  <si>
    <t>1-2 поб./пр.- 60б</t>
  </si>
  <si>
    <t xml:space="preserve">3-5 поб./пр.- 80б </t>
  </si>
  <si>
    <t>участие-10б</t>
  </si>
  <si>
    <t>участие-20б</t>
  </si>
  <si>
    <t>участие-30б.</t>
  </si>
  <si>
    <t>участие-40б</t>
  </si>
  <si>
    <t>участие-70б.</t>
  </si>
  <si>
    <t>участие-100б.</t>
  </si>
  <si>
    <t>Анохин Александр Олегович</t>
  </si>
  <si>
    <t>30-60</t>
  </si>
  <si>
    <t xml:space="preserve">3-7поб./пр. -50б. 
</t>
  </si>
  <si>
    <t>8 и более 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</si>
</sst>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dd/mm/yy;@"/>
    <numFmt numFmtId="166" formatCode="###0&quot; баллов&quot;;\-###0&quot; баллов&quot;"/>
  </numFmts>
  <fonts count="1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i/>
      <sz val="10"/>
      <name val="Arial Cyr"/>
      <charset val="204"/>
    </font>
    <font>
      <sz val="10"/>
      <name val="Symbol"/>
      <family val="1"/>
      <charset val="2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20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2"/>
      <color indexed="12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i/>
      <sz val="10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8"/>
      <name val="Times New Roman"/>
      <family val="1"/>
      <charset val="204"/>
    </font>
    <font>
      <sz val="3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3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i/>
      <sz val="8"/>
      <color indexed="62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8"/>
      <color indexed="12"/>
      <name val="Arial Cyr"/>
      <charset val="204"/>
    </font>
    <font>
      <b/>
      <sz val="8"/>
      <name val="Times New Roman"/>
      <family val="1"/>
      <charset val="204"/>
    </font>
    <font>
      <i/>
      <sz val="10"/>
      <color indexed="12"/>
      <name val="Arial Cyr"/>
      <charset val="204"/>
    </font>
    <font>
      <i/>
      <sz val="11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.5"/>
      <color indexed="12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  <font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B050"/>
      <name val="Calibri"/>
      <family val="2"/>
      <charset val="204"/>
    </font>
    <font>
      <sz val="12"/>
      <color rgb="FF008000"/>
      <name val="Calibri"/>
      <family val="2"/>
      <charset val="204"/>
    </font>
    <font>
      <sz val="12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8" fillId="0" borderId="0"/>
  </cellStyleXfs>
  <cellXfs count="1190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10" fillId="0" borderId="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protection hidden="1"/>
    </xf>
    <xf numFmtId="0" fontId="32" fillId="0" borderId="0" xfId="0" applyFont="1" applyAlignment="1" applyProtection="1">
      <protection hidden="1"/>
    </xf>
    <xf numFmtId="0" fontId="28" fillId="0" borderId="0" xfId="0" applyFont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right" vertical="center"/>
      <protection hidden="1"/>
    </xf>
    <xf numFmtId="0" fontId="0" fillId="3" borderId="6" xfId="0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0" fillId="3" borderId="7" xfId="0" applyFill="1" applyBorder="1" applyAlignment="1" applyProtection="1">
      <alignment horizontal="righ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10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6" fillId="0" borderId="4" xfId="0" applyFont="1" applyBorder="1" applyAlignment="1" applyProtection="1">
      <alignment vertical="top" wrapText="1"/>
      <protection hidden="1"/>
    </xf>
    <xf numFmtId="0" fontId="40" fillId="0" borderId="11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3" xfId="0" applyFont="1" applyBorder="1" applyAlignment="1" applyProtection="1">
      <alignment vertical="top" wrapText="1"/>
      <protection hidden="1"/>
    </xf>
    <xf numFmtId="0" fontId="16" fillId="0" borderId="6" xfId="0" applyFont="1" applyBorder="1" applyAlignment="1" applyProtection="1">
      <alignment vertical="top" wrapText="1"/>
      <protection hidden="1"/>
    </xf>
    <xf numFmtId="0" fontId="40" fillId="0" borderId="11" xfId="0" applyFont="1" applyBorder="1" applyProtection="1"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40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3" fillId="0" borderId="0" xfId="0" applyFont="1" applyBorder="1" applyAlignment="1" applyProtection="1"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3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Protection="1">
      <protection hidden="1"/>
    </xf>
    <xf numFmtId="0" fontId="31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top" indent="1"/>
      <protection hidden="1"/>
    </xf>
    <xf numFmtId="0" fontId="0" fillId="0" borderId="11" xfId="0" applyBorder="1" applyProtection="1"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40" fillId="0" borderId="12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37" fillId="0" borderId="0" xfId="0" applyFont="1" applyBorder="1" applyAlignment="1" applyProtection="1">
      <alignment horizontal="left" vertical="top"/>
      <protection hidden="1"/>
    </xf>
    <xf numFmtId="0" fontId="37" fillId="0" borderId="13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5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0" fontId="56" fillId="0" borderId="0" xfId="0" applyFont="1" applyProtection="1">
      <protection hidden="1"/>
    </xf>
    <xf numFmtId="0" fontId="57" fillId="0" borderId="0" xfId="0" applyFont="1" applyFill="1" applyBorder="1" applyAlignment="1" applyProtection="1">
      <alignment vertical="top"/>
    </xf>
    <xf numFmtId="0" fontId="58" fillId="0" borderId="0" xfId="0" applyFo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14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54" fillId="0" borderId="1" xfId="0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4" borderId="12" xfId="0" applyFont="1" applyFill="1" applyBorder="1" applyAlignment="1" applyProtection="1">
      <alignment horizontal="left" vertical="top" indent="1"/>
      <protection locked="0"/>
    </xf>
    <xf numFmtId="0" fontId="27" fillId="3" borderId="12" xfId="0" applyFont="1" applyFill="1" applyBorder="1" applyAlignment="1" applyProtection="1">
      <alignment horizontal="left" vertical="top" indent="1"/>
      <protection locked="0"/>
    </xf>
    <xf numFmtId="0" fontId="24" fillId="3" borderId="12" xfId="0" applyFont="1" applyFill="1" applyBorder="1" applyAlignment="1" applyProtection="1">
      <alignment horizontal="center" vertical="top"/>
      <protection locked="0"/>
    </xf>
    <xf numFmtId="1" fontId="23" fillId="4" borderId="12" xfId="0" applyNumberFormat="1" applyFont="1" applyFill="1" applyBorder="1" applyAlignment="1" applyProtection="1">
      <alignment horizontal="center"/>
      <protection locked="0"/>
    </xf>
    <xf numFmtId="1" fontId="23" fillId="4" borderId="1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6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7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Border="1" applyAlignment="1" applyProtection="1">
      <alignment horizontal="right" vertical="center"/>
      <protection hidden="1"/>
    </xf>
    <xf numFmtId="0" fontId="56" fillId="0" borderId="0" xfId="0" applyFont="1" applyFill="1" applyProtection="1">
      <protection hidden="1"/>
    </xf>
    <xf numFmtId="0" fontId="55" fillId="0" borderId="0" xfId="0" applyFont="1" applyFill="1" applyProtection="1">
      <protection hidden="1"/>
    </xf>
    <xf numFmtId="0" fontId="58" fillId="0" borderId="0" xfId="0" applyFont="1" applyFill="1" applyProtection="1"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5" fillId="0" borderId="0" xfId="0" applyFont="1" applyBorder="1" applyProtection="1"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top"/>
      <protection hidden="1"/>
    </xf>
    <xf numFmtId="0" fontId="37" fillId="0" borderId="0" xfId="0" applyFont="1" applyFill="1" applyAlignment="1" applyProtection="1">
      <alignment horizontal="left" vertical="top" wrapText="1"/>
      <protection hidden="1"/>
    </xf>
    <xf numFmtId="0" fontId="37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8" fillId="0" borderId="0" xfId="0" applyFont="1" applyProtection="1">
      <protection hidden="1"/>
    </xf>
    <xf numFmtId="0" fontId="69" fillId="0" borderId="0" xfId="0" applyFont="1" applyProtection="1">
      <protection hidden="1"/>
    </xf>
    <xf numFmtId="0" fontId="70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71" fillId="0" borderId="0" xfId="0" applyFont="1" applyProtection="1"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71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27" fillId="2" borderId="12" xfId="0" applyFont="1" applyFill="1" applyBorder="1" applyAlignment="1" applyProtection="1">
      <alignment vertical="top"/>
      <protection hidden="1"/>
    </xf>
    <xf numFmtId="0" fontId="0" fillId="2" borderId="12" xfId="0" applyFill="1" applyBorder="1" applyProtection="1">
      <protection hidden="1"/>
    </xf>
    <xf numFmtId="0" fontId="18" fillId="2" borderId="15" xfId="1" applyFill="1" applyBorder="1" applyAlignment="1" applyProtection="1">
      <alignment horizontal="left" vertical="top"/>
      <protection hidden="1"/>
    </xf>
    <xf numFmtId="0" fontId="27" fillId="2" borderId="15" xfId="0" applyFont="1" applyFill="1" applyBorder="1" applyAlignment="1" applyProtection="1">
      <alignment vertical="top" wrapText="1"/>
      <protection hidden="1"/>
    </xf>
    <xf numFmtId="0" fontId="27" fillId="2" borderId="15" xfId="0" applyFont="1" applyFill="1" applyBorder="1" applyAlignment="1" applyProtection="1">
      <alignment vertical="top"/>
      <protection hidden="1"/>
    </xf>
    <xf numFmtId="0" fontId="0" fillId="2" borderId="15" xfId="0" applyFill="1" applyBorder="1" applyProtection="1">
      <protection hidden="1"/>
    </xf>
    <xf numFmtId="0" fontId="27" fillId="2" borderId="15" xfId="0" applyFont="1" applyFill="1" applyBorder="1" applyAlignment="1" applyProtection="1">
      <alignment horizontal="right" vertical="top" indent="1"/>
      <protection hidden="1"/>
    </xf>
    <xf numFmtId="0" fontId="37" fillId="2" borderId="15" xfId="0" applyFont="1" applyFill="1" applyBorder="1" applyAlignment="1" applyProtection="1">
      <alignment horizontal="left" vertical="top"/>
      <protection hidden="1"/>
    </xf>
    <xf numFmtId="0" fontId="7" fillId="2" borderId="15" xfId="0" applyFont="1" applyFill="1" applyBorder="1" applyAlignment="1" applyProtection="1">
      <alignment vertical="top"/>
      <protection hidden="1"/>
    </xf>
    <xf numFmtId="14" fontId="24" fillId="2" borderId="15" xfId="0" applyNumberFormat="1" applyFont="1" applyFill="1" applyBorder="1" applyAlignment="1" applyProtection="1">
      <alignment horizontal="left" vertical="top"/>
      <protection hidden="1"/>
    </xf>
    <xf numFmtId="0" fontId="24" fillId="2" borderId="15" xfId="0" applyFont="1" applyFill="1" applyBorder="1" applyAlignment="1" applyProtection="1">
      <alignment vertical="top"/>
      <protection hidden="1"/>
    </xf>
    <xf numFmtId="0" fontId="7" fillId="2" borderId="15" xfId="0" applyFont="1" applyFill="1" applyBorder="1" applyAlignment="1" applyProtection="1">
      <alignment horizontal="left" vertical="top"/>
      <protection hidden="1"/>
    </xf>
    <xf numFmtId="0" fontId="37" fillId="2" borderId="15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37" fillId="2" borderId="0" xfId="0" applyFont="1" applyFill="1" applyAlignment="1" applyProtection="1">
      <alignment horizontal="left" vertical="top" wrapText="1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20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40" fillId="0" borderId="4" xfId="0" applyFont="1" applyBorder="1" applyAlignment="1" applyProtection="1">
      <alignment horizontal="left" vertical="top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vertical="top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0" fillId="3" borderId="12" xfId="0" applyFill="1" applyBorder="1" applyAlignment="1" applyProtection="1">
      <alignment horizontal="right" vertical="center"/>
      <protection hidden="1"/>
    </xf>
    <xf numFmtId="0" fontId="0" fillId="0" borderId="0" xfId="0" applyBorder="1" applyAlignment="1"/>
    <xf numFmtId="0" fontId="15" fillId="0" borderId="0" xfId="0" applyFont="1" applyBorder="1" applyAlignment="1" applyProtection="1"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67" fillId="5" borderId="0" xfId="1" applyFont="1" applyFill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horizontal="center" vertical="top"/>
      <protection hidden="1"/>
    </xf>
    <xf numFmtId="0" fontId="91" fillId="0" borderId="0" xfId="0" applyFont="1" applyBorder="1" applyProtection="1">
      <protection hidden="1"/>
    </xf>
    <xf numFmtId="0" fontId="92" fillId="0" borderId="0" xfId="0" applyFont="1" applyFill="1" applyBorder="1" applyAlignment="1" applyProtection="1">
      <alignment horizontal="left" vertical="top" indent="1"/>
      <protection hidden="1"/>
    </xf>
    <xf numFmtId="0" fontId="90" fillId="0" borderId="0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24" fillId="4" borderId="12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top" indent="1"/>
      <protection hidden="1"/>
    </xf>
    <xf numFmtId="1" fontId="27" fillId="4" borderId="8" xfId="0" applyNumberFormat="1" applyFont="1" applyFill="1" applyBorder="1" applyAlignment="1" applyProtection="1">
      <alignment horizontal="center" vertical="top"/>
      <protection locked="0"/>
    </xf>
    <xf numFmtId="0" fontId="55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vertical="top"/>
      <protection hidden="1"/>
    </xf>
    <xf numFmtId="0" fontId="56" fillId="0" borderId="6" xfId="0" applyFont="1" applyBorder="1" applyAlignment="1" applyProtection="1">
      <alignment horizontal="right"/>
      <protection hidden="1"/>
    </xf>
    <xf numFmtId="0" fontId="93" fillId="0" borderId="0" xfId="0" applyFont="1" applyBorder="1" applyProtection="1">
      <protection hidden="1"/>
    </xf>
    <xf numFmtId="0" fontId="57" fillId="0" borderId="12" xfId="0" applyFont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56" fillId="0" borderId="0" xfId="0" applyFont="1" applyBorder="1" applyProtection="1">
      <protection hidden="1"/>
    </xf>
    <xf numFmtId="0" fontId="58" fillId="0" borderId="0" xfId="0" applyFont="1" applyBorder="1" applyProtection="1"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Alignment="1" applyProtection="1">
      <alignment horizontal="center"/>
      <protection hidden="1"/>
    </xf>
    <xf numFmtId="0" fontId="5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top" wrapText="1"/>
      <protection hidden="1"/>
    </xf>
    <xf numFmtId="0" fontId="32" fillId="5" borderId="6" xfId="0" applyFont="1" applyFill="1" applyBorder="1" applyAlignment="1" applyProtection="1">
      <alignment horizontal="center" vertical="top" wrapText="1"/>
      <protection hidden="1"/>
    </xf>
    <xf numFmtId="0" fontId="24" fillId="5" borderId="0" xfId="0" applyFont="1" applyFill="1" applyBorder="1" applyAlignment="1" applyProtection="1">
      <alignment horizontal="center" vertical="top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30" fillId="0" borderId="8" xfId="0" applyFont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horizontal="center" vertical="top"/>
      <protection hidden="1"/>
    </xf>
    <xf numFmtId="0" fontId="55" fillId="0" borderId="0" xfId="0" applyFont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24" fillId="0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vertical="top" indent="5"/>
      <protection hidden="1"/>
    </xf>
    <xf numFmtId="0" fontId="24" fillId="0" borderId="6" xfId="0" applyFont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hidden="1"/>
    </xf>
    <xf numFmtId="0" fontId="7" fillId="0" borderId="6" xfId="0" applyFont="1" applyBorder="1" applyAlignment="1" applyProtection="1">
      <alignment horizontal="left" vertical="top" indent="1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27" fillId="0" borderId="6" xfId="0" applyFont="1" applyFill="1" applyBorder="1" applyAlignment="1" applyProtection="1">
      <alignment horizontal="right"/>
      <protection hidden="1"/>
    </xf>
    <xf numFmtId="1" fontId="20" fillId="0" borderId="4" xfId="0" applyNumberFormat="1" applyFont="1" applyBorder="1" applyAlignment="1" applyProtection="1">
      <alignment horizontal="left"/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4" xfId="0" applyBorder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5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2" fillId="0" borderId="4" xfId="0" applyFont="1" applyBorder="1" applyAlignment="1" applyProtection="1">
      <alignment horizontal="left" vertical="top" wrapText="1" indent="1"/>
      <protection hidden="1"/>
    </xf>
    <xf numFmtId="0" fontId="58" fillId="7" borderId="0" xfId="0" applyFont="1" applyFill="1" applyBorder="1" applyProtection="1">
      <protection hidden="1"/>
    </xf>
    <xf numFmtId="0" fontId="37" fillId="8" borderId="0" xfId="0" applyFont="1" applyFill="1" applyProtection="1">
      <protection hidden="1"/>
    </xf>
    <xf numFmtId="0" fontId="62" fillId="0" borderId="6" xfId="0" applyFont="1" applyBorder="1" applyAlignment="1" applyProtection="1">
      <alignment horizontal="left" vertical="top" wrapText="1" indent="1"/>
      <protection hidden="1"/>
    </xf>
    <xf numFmtId="0" fontId="62" fillId="0" borderId="0" xfId="0" applyFont="1" applyBorder="1" applyAlignment="1" applyProtection="1">
      <alignment horizontal="left" vertical="top" wrapText="1" inden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Protection="1">
      <protection hidden="1"/>
    </xf>
    <xf numFmtId="0" fontId="27" fillId="0" borderId="4" xfId="0" applyFont="1" applyFill="1" applyBorder="1" applyAlignment="1" applyProtection="1">
      <alignment horizontal="left" vertical="top" indent="1"/>
      <protection locked="0"/>
    </xf>
    <xf numFmtId="0" fontId="27" fillId="0" borderId="4" xfId="0" applyFont="1" applyFill="1" applyBorder="1" applyAlignment="1" applyProtection="1">
      <alignment horizontal="left" vertical="top" indent="1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hidden="1"/>
    </xf>
    <xf numFmtId="0" fontId="27" fillId="0" borderId="4" xfId="0" applyFont="1" applyFill="1" applyBorder="1" applyAlignment="1" applyProtection="1">
      <alignment vertical="top"/>
      <protection hidden="1"/>
    </xf>
    <xf numFmtId="0" fontId="63" fillId="0" borderId="4" xfId="0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Protection="1">
      <protection hidden="1"/>
    </xf>
    <xf numFmtId="0" fontId="59" fillId="0" borderId="6" xfId="0" applyFont="1" applyFill="1" applyBorder="1" applyAlignment="1" applyProtection="1">
      <alignment horizontal="left" vertical="top" indent="1"/>
      <protection hidden="1"/>
    </xf>
    <xf numFmtId="3" fontId="61" fillId="0" borderId="4" xfId="0" applyNumberFormat="1" applyFont="1" applyFill="1" applyBorder="1" applyAlignment="1" applyProtection="1">
      <alignment horizontal="left" vertical="top" indent="1"/>
      <protection hidden="1"/>
    </xf>
    <xf numFmtId="0" fontId="79" fillId="0" borderId="6" xfId="0" applyFont="1" applyFill="1" applyBorder="1" applyAlignment="1" applyProtection="1">
      <alignment horizontal="left" vertical="top" indent="1"/>
      <protection hidden="1"/>
    </xf>
    <xf numFmtId="3" fontId="81" fillId="0" borderId="4" xfId="0" applyNumberFormat="1" applyFont="1" applyFill="1" applyBorder="1" applyAlignment="1" applyProtection="1">
      <alignment horizontal="left" vertical="top" indent="1"/>
      <protection hidden="1"/>
    </xf>
    <xf numFmtId="3" fontId="27" fillId="0" borderId="4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wrapText="1"/>
      <protection hidden="1"/>
    </xf>
    <xf numFmtId="0" fontId="33" fillId="0" borderId="0" xfId="0" applyFont="1" applyFill="1" applyBorder="1" applyProtection="1">
      <protection hidden="1"/>
    </xf>
    <xf numFmtId="0" fontId="33" fillId="0" borderId="4" xfId="0" applyFont="1" applyFill="1" applyBorder="1" applyProtection="1">
      <protection hidden="1"/>
    </xf>
    <xf numFmtId="0" fontId="0" fillId="0" borderId="6" xfId="0" applyBorder="1" applyAlignment="1" applyProtection="1">
      <alignment wrapText="1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Protection="1">
      <protection hidden="1"/>
    </xf>
    <xf numFmtId="0" fontId="24" fillId="6" borderId="5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26" fillId="2" borderId="4" xfId="0" applyFont="1" applyFill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37" fillId="0" borderId="3" xfId="0" applyFont="1" applyBorder="1" applyAlignment="1" applyProtection="1">
      <alignment horizontal="left" vertical="top"/>
      <protection hidden="1"/>
    </xf>
    <xf numFmtId="0" fontId="37" fillId="0" borderId="11" xfId="0" applyFont="1" applyBorder="1" applyAlignment="1" applyProtection="1">
      <alignment horizontal="left" vertical="top"/>
      <protection hidden="1"/>
    </xf>
    <xf numFmtId="0" fontId="16" fillId="0" borderId="11" xfId="0" applyFont="1" applyBorder="1" applyAlignment="1" applyProtection="1">
      <alignment vertical="top" wrapText="1"/>
      <protection hidden="1"/>
    </xf>
    <xf numFmtId="0" fontId="13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4" xfId="0" applyFont="1" applyFill="1" applyBorder="1" applyAlignment="1" applyProtection="1">
      <alignment vertical="top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right" vertical="top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7" fillId="0" borderId="0" xfId="0" applyFont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8" fillId="0" borderId="0" xfId="0" applyFont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center"/>
      <protection hidden="1"/>
    </xf>
    <xf numFmtId="17" fontId="99" fillId="9" borderId="0" xfId="0" applyNumberFormat="1" applyFont="1" applyFill="1" applyAlignment="1" applyProtection="1">
      <alignment vertical="top"/>
      <protection hidden="1"/>
    </xf>
    <xf numFmtId="0" fontId="0" fillId="9" borderId="0" xfId="0" applyFill="1" applyProtection="1">
      <protection hidden="1"/>
    </xf>
    <xf numFmtId="0" fontId="0" fillId="9" borderId="0" xfId="0" applyFill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left" vertical="top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26" fillId="9" borderId="0" xfId="0" applyFont="1" applyFill="1" applyProtection="1"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97" fillId="0" borderId="0" xfId="0" applyFont="1" applyAlignment="1" applyProtection="1">
      <alignment vertical="top"/>
      <protection hidden="1"/>
    </xf>
    <xf numFmtId="0" fontId="98" fillId="0" borderId="0" xfId="0" applyFont="1" applyAlignment="1" applyProtection="1">
      <alignment horizontal="center" vertical="top"/>
      <protection hidden="1"/>
    </xf>
    <xf numFmtId="0" fontId="98" fillId="0" borderId="0" xfId="0" applyFont="1" applyBorder="1" applyAlignment="1" applyProtection="1">
      <alignment vertical="top" wrapText="1"/>
      <protection hidden="1"/>
    </xf>
    <xf numFmtId="0" fontId="98" fillId="0" borderId="0" xfId="0" applyFont="1" applyAlignment="1" applyProtection="1">
      <alignment vertical="top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2" borderId="10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2" borderId="15" xfId="0" applyFont="1" applyFill="1" applyBorder="1" applyAlignment="1" applyProtection="1">
      <alignment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0" fontId="100" fillId="0" borderId="0" xfId="0" applyFont="1" applyBorder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102" fillId="0" borderId="6" xfId="0" applyFont="1" applyBorder="1" applyAlignment="1" applyProtection="1">
      <protection hidden="1"/>
    </xf>
    <xf numFmtId="0" fontId="102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protection hidden="1"/>
    </xf>
    <xf numFmtId="0" fontId="102" fillId="0" borderId="4" xfId="0" applyFont="1" applyBorder="1" applyAlignment="1" applyProtection="1">
      <protection hidden="1"/>
    </xf>
    <xf numFmtId="0" fontId="102" fillId="0" borderId="0" xfId="0" applyFont="1" applyBorder="1" applyAlignment="1" applyProtection="1">
      <alignment horizontal="right"/>
      <protection hidden="1"/>
    </xf>
    <xf numFmtId="0" fontId="102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protection hidden="1"/>
    </xf>
    <xf numFmtId="0" fontId="51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5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1" fillId="10" borderId="1" xfId="0" applyFont="1" applyFill="1" applyBorder="1" applyAlignment="1" applyProtection="1">
      <alignment horizontal="right" vertical="center"/>
      <protection hidden="1"/>
    </xf>
    <xf numFmtId="0" fontId="40" fillId="0" borderId="0" xfId="0" applyFont="1" applyProtection="1">
      <protection hidden="1"/>
    </xf>
    <xf numFmtId="0" fontId="107" fillId="0" borderId="0" xfId="0" applyFont="1" applyAlignment="1" applyProtection="1">
      <alignment horizontal="center" vertical="top"/>
      <protection hidden="1"/>
    </xf>
    <xf numFmtId="0" fontId="107" fillId="0" borderId="0" xfId="0" applyFont="1" applyAlignment="1" applyProtection="1">
      <alignment vertical="top"/>
      <protection hidden="1"/>
    </xf>
    <xf numFmtId="0" fontId="108" fillId="0" borderId="0" xfId="0" applyFont="1" applyAlignment="1" applyProtection="1">
      <alignment vertical="top"/>
      <protection hidden="1"/>
    </xf>
    <xf numFmtId="0" fontId="108" fillId="0" borderId="0" xfId="0" applyFont="1" applyBorder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 vertical="top" wrapText="1" inden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5" borderId="2" xfId="0" applyFont="1" applyFill="1" applyBorder="1" applyAlignment="1" applyProtection="1">
      <alignment horizontal="center" vertical="top" wrapText="1"/>
      <protection hidden="1"/>
    </xf>
    <xf numFmtId="0" fontId="8" fillId="5" borderId="2" xfId="0" applyFont="1" applyFill="1" applyBorder="1" applyAlignment="1" applyProtection="1">
      <alignment horizontal="center" vertical="top" wrapText="1"/>
      <protection hidden="1"/>
    </xf>
    <xf numFmtId="0" fontId="13" fillId="5" borderId="3" xfId="0" applyFont="1" applyFill="1" applyBorder="1" applyAlignment="1" applyProtection="1">
      <alignment horizontal="center" vertical="top" wrapText="1"/>
      <protection hidden="1"/>
    </xf>
    <xf numFmtId="0" fontId="8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vertical="top" wrapText="1"/>
      <protection hidden="1"/>
    </xf>
    <xf numFmtId="0" fontId="13" fillId="5" borderId="11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49" fontId="10" fillId="0" borderId="10" xfId="0" applyNumberFormat="1" applyFont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0" fillId="0" borderId="0" xfId="0" applyFont="1" applyAlignment="1" applyProtection="1">
      <protection hidden="1"/>
    </xf>
    <xf numFmtId="0" fontId="40" fillId="0" borderId="0" xfId="0" applyFont="1" applyFill="1" applyProtection="1">
      <protection hidden="1"/>
    </xf>
    <xf numFmtId="0" fontId="102" fillId="0" borderId="6" xfId="0" applyFont="1" applyBorder="1" applyAlignment="1" applyProtection="1">
      <alignment horizontal="left" vertical="top" wrapText="1" indent="1"/>
      <protection hidden="1"/>
    </xf>
    <xf numFmtId="0" fontId="102" fillId="0" borderId="0" xfId="0" applyFont="1" applyBorder="1" applyAlignment="1" applyProtection="1">
      <alignment horizontal="left" vertical="top" wrapText="1" indent="1"/>
      <protection hidden="1"/>
    </xf>
    <xf numFmtId="0" fontId="102" fillId="0" borderId="4" xfId="0" applyFont="1" applyBorder="1" applyAlignment="1" applyProtection="1">
      <alignment horizontal="left" vertical="top" wrapText="1" inden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50" fillId="9" borderId="0" xfId="0" applyFont="1" applyFill="1" applyProtection="1">
      <protection hidden="1"/>
    </xf>
    <xf numFmtId="0" fontId="50" fillId="0" borderId="0" xfId="0" applyFont="1" applyProtection="1">
      <protection hidden="1"/>
    </xf>
    <xf numFmtId="0" fontId="37" fillId="9" borderId="0" xfId="0" applyFont="1" applyFill="1" applyProtection="1"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77" fillId="0" borderId="0" xfId="3" applyFont="1" applyFill="1" applyBorder="1" applyAlignment="1">
      <alignment vertical="top" wrapText="1"/>
    </xf>
    <xf numFmtId="0" fontId="110" fillId="0" borderId="0" xfId="0" applyFont="1" applyProtection="1">
      <protection hidden="1"/>
    </xf>
    <xf numFmtId="0" fontId="37" fillId="9" borderId="0" xfId="0" applyFont="1" applyFill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top" indent="1"/>
      <protection hidden="1"/>
    </xf>
    <xf numFmtId="0" fontId="19" fillId="0" borderId="12" xfId="0" applyFont="1" applyBorder="1" applyAlignment="1" applyProtection="1">
      <alignment horizontal="left" vertical="top" wrapText="1" indent="1"/>
      <protection hidden="1"/>
    </xf>
    <xf numFmtId="0" fontId="19" fillId="0" borderId="12" xfId="0" applyFont="1" applyBorder="1" applyAlignment="1" applyProtection="1">
      <alignment horizontal="right" vertical="top" indent="1"/>
      <protection hidden="1"/>
    </xf>
    <xf numFmtId="0" fontId="19" fillId="0" borderId="12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10" borderId="0" xfId="0" applyFont="1" applyFill="1" applyAlignment="1" applyProtection="1">
      <alignment vertical="center"/>
      <protection hidden="1"/>
    </xf>
    <xf numFmtId="0" fontId="37" fillId="10" borderId="1" xfId="0" applyFont="1" applyFill="1" applyBorder="1" applyAlignment="1" applyProtection="1">
      <alignment vertical="center"/>
      <protection hidden="1"/>
    </xf>
    <xf numFmtId="0" fontId="37" fillId="1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7" fillId="3" borderId="9" xfId="0" applyFont="1" applyFill="1" applyBorder="1" applyAlignment="1" applyProtection="1">
      <alignment horizontal="left" vertical="center"/>
      <protection hidden="1"/>
    </xf>
    <xf numFmtId="0" fontId="37" fillId="3" borderId="5" xfId="0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indent="1"/>
      <protection hidden="1"/>
    </xf>
    <xf numFmtId="0" fontId="43" fillId="3" borderId="1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4" fillId="11" borderId="6" xfId="0" applyFont="1" applyFill="1" applyBorder="1" applyAlignment="1" applyProtection="1">
      <alignment horizontal="left" vertical="top"/>
      <protection hidden="1"/>
    </xf>
    <xf numFmtId="0" fontId="44" fillId="11" borderId="0" xfId="0" applyFont="1" applyFill="1" applyBorder="1" applyProtection="1">
      <protection hidden="1"/>
    </xf>
    <xf numFmtId="0" fontId="18" fillId="11" borderId="16" xfId="1" applyFill="1" applyBorder="1" applyAlignment="1" applyProtection="1">
      <protection hidden="1"/>
    </xf>
    <xf numFmtId="0" fontId="18" fillId="11" borderId="17" xfId="1" applyFill="1" applyBorder="1" applyAlignment="1" applyProtection="1">
      <protection hidden="1"/>
    </xf>
    <xf numFmtId="1" fontId="0" fillId="11" borderId="0" xfId="0" applyNumberFormat="1" applyFill="1" applyBorder="1" applyProtection="1">
      <protection hidden="1"/>
    </xf>
    <xf numFmtId="0" fontId="0" fillId="11" borderId="6" xfId="0" applyFill="1" applyBorder="1" applyProtection="1">
      <protection hidden="1"/>
    </xf>
    <xf numFmtId="0" fontId="18" fillId="11" borderId="18" xfId="1" applyFill="1" applyBorder="1" applyAlignment="1" applyProtection="1">
      <protection hidden="1"/>
    </xf>
    <xf numFmtId="0" fontId="18" fillId="11" borderId="19" xfId="1" applyFill="1" applyBorder="1" applyAlignment="1" applyProtection="1">
      <protection hidden="1"/>
    </xf>
    <xf numFmtId="0" fontId="0" fillId="11" borderId="0" xfId="0" applyFill="1" applyBorder="1" applyProtection="1">
      <protection hidden="1"/>
    </xf>
    <xf numFmtId="0" fontId="18" fillId="11" borderId="20" xfId="1" applyFill="1" applyBorder="1" applyAlignment="1" applyProtection="1">
      <protection hidden="1"/>
    </xf>
    <xf numFmtId="0" fontId="18" fillId="11" borderId="21" xfId="1" applyFill="1" applyBorder="1" applyAlignment="1" applyProtection="1">
      <protection hidden="1"/>
    </xf>
    <xf numFmtId="0" fontId="0" fillId="11" borderId="4" xfId="0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5" fillId="0" borderId="6" xfId="0" applyFont="1" applyFill="1" applyBorder="1" applyAlignment="1" applyProtection="1">
      <alignment horizontal="left" vertical="center" wrapText="1" indent="1"/>
      <protection hidden="1"/>
    </xf>
    <xf numFmtId="0" fontId="95" fillId="0" borderId="0" xfId="0" applyFont="1" applyFill="1" applyBorder="1" applyAlignment="1" applyProtection="1">
      <alignment horizontal="left" vertical="center" wrapText="1" indent="1"/>
      <protection hidden="1"/>
    </xf>
    <xf numFmtId="0" fontId="95" fillId="0" borderId="4" xfId="0" applyFont="1" applyFill="1" applyBorder="1" applyAlignment="1" applyProtection="1">
      <alignment horizontal="left" vertical="center" wrapText="1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164" fontId="24" fillId="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vertical="top"/>
      <protection hidden="1"/>
    </xf>
    <xf numFmtId="0" fontId="0" fillId="10" borderId="6" xfId="0" applyFill="1" applyBorder="1" applyProtection="1">
      <protection hidden="1"/>
    </xf>
    <xf numFmtId="0" fontId="111" fillId="0" borderId="9" xfId="0" applyFont="1" applyFill="1" applyBorder="1" applyAlignment="1" applyProtection="1">
      <alignment horizontal="center" vertical="top"/>
      <protection hidden="1"/>
    </xf>
    <xf numFmtId="164" fontId="112" fillId="4" borderId="12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Protection="1">
      <protection hidden="1"/>
    </xf>
    <xf numFmtId="0" fontId="0" fillId="12" borderId="6" xfId="0" quotePrefix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1" fillId="0" borderId="2" xfId="0" applyFont="1" applyBorder="1" applyAlignment="1" applyProtection="1">
      <alignment horizontal="left"/>
      <protection hidden="1"/>
    </xf>
    <xf numFmtId="0" fontId="111" fillId="0" borderId="1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right" vertical="top"/>
      <protection hidden="1"/>
    </xf>
    <xf numFmtId="14" fontId="49" fillId="4" borderId="12" xfId="0" applyNumberFormat="1" applyFont="1" applyFill="1" applyBorder="1" applyAlignment="1" applyProtection="1">
      <alignment horizontal="left" vertical="center" indent="1"/>
      <protection locked="0" hidden="1"/>
    </xf>
    <xf numFmtId="0" fontId="11" fillId="0" borderId="6" xfId="0" applyFont="1" applyFill="1" applyBorder="1" applyProtection="1">
      <protection hidden="1"/>
    </xf>
    <xf numFmtId="164" fontId="112" fillId="4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 applyProtection="1">
      <alignment vertical="top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1" fontId="24" fillId="3" borderId="12" xfId="0" applyNumberFormat="1" applyFont="1" applyFill="1" applyBorder="1" applyAlignment="1" applyProtection="1">
      <alignment horizontal="left" vertical="center" indent="1"/>
      <protection locked="0"/>
    </xf>
    <xf numFmtId="0" fontId="36" fillId="1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32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top"/>
      <protection hidden="1"/>
    </xf>
    <xf numFmtId="1" fontId="2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indent="1"/>
      <protection hidden="1"/>
    </xf>
    <xf numFmtId="1" fontId="27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horizontal="left" indent="1"/>
      <protection hidden="1"/>
    </xf>
    <xf numFmtId="0" fontId="63" fillId="0" borderId="6" xfId="0" applyFont="1" applyFill="1" applyBorder="1" applyAlignment="1" applyProtection="1">
      <alignment horizontal="center" vertical="top"/>
      <protection hidden="1"/>
    </xf>
    <xf numFmtId="0" fontId="116" fillId="0" borderId="0" xfId="0" applyFont="1" applyFill="1" applyBorder="1" applyAlignment="1" applyProtection="1">
      <alignment horizontal="right" vertical="top"/>
      <protection hidden="1"/>
    </xf>
    <xf numFmtId="0" fontId="111" fillId="0" borderId="1" xfId="0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7" fillId="0" borderId="1" xfId="0" applyFont="1" applyBorder="1" applyAlignment="1" applyProtection="1">
      <alignment wrapText="1"/>
      <protection hidden="1"/>
    </xf>
    <xf numFmtId="0" fontId="63" fillId="0" borderId="6" xfId="0" applyFont="1" applyFill="1" applyBorder="1" applyAlignment="1" applyProtection="1">
      <alignment vertical="top" wrapText="1"/>
      <protection hidden="1"/>
    </xf>
    <xf numFmtId="0" fontId="63" fillId="0" borderId="0" xfId="0" applyFont="1" applyFill="1" applyBorder="1" applyAlignment="1" applyProtection="1">
      <alignment vertical="top" wrapText="1"/>
      <protection hidden="1"/>
    </xf>
    <xf numFmtId="0" fontId="63" fillId="0" borderId="4" xfId="0" applyFont="1" applyFill="1" applyBorder="1" applyAlignment="1" applyProtection="1">
      <alignment vertical="top" wrapText="1"/>
      <protection hidden="1"/>
    </xf>
    <xf numFmtId="1" fontId="118" fillId="0" borderId="0" xfId="0" applyNumberFormat="1" applyFont="1" applyFill="1" applyBorder="1" applyAlignment="1" applyProtection="1">
      <alignment horizontal="center" vertical="top"/>
      <protection locked="0"/>
    </xf>
    <xf numFmtId="0" fontId="91" fillId="0" borderId="6" xfId="0" applyFont="1" applyBorder="1" applyProtection="1">
      <protection hidden="1"/>
    </xf>
    <xf numFmtId="0" fontId="92" fillId="0" borderId="0" xfId="0" applyFont="1" applyFill="1" applyBorder="1" applyAlignment="1" applyProtection="1">
      <alignment vertical="top"/>
      <protection hidden="1"/>
    </xf>
    <xf numFmtId="0" fontId="90" fillId="0" borderId="4" xfId="0" applyFont="1" applyFill="1" applyBorder="1" applyAlignment="1" applyProtection="1">
      <alignment vertical="top"/>
      <protection hidden="1"/>
    </xf>
    <xf numFmtId="1" fontId="27" fillId="4" borderId="12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7" fillId="0" borderId="6" xfId="0" applyFont="1" applyFill="1" applyBorder="1" applyAlignment="1" applyProtection="1">
      <alignment horizontal="right" vertical="top" indent="1"/>
      <protection hidden="1"/>
    </xf>
    <xf numFmtId="0" fontId="7" fillId="0" borderId="4" xfId="0" applyFont="1" applyFill="1" applyBorder="1" applyAlignment="1" applyProtection="1">
      <alignment horizontal="left" vertical="top" indent="1"/>
      <protection hidden="1"/>
    </xf>
    <xf numFmtId="0" fontId="119" fillId="0" borderId="0" xfId="0" applyFont="1" applyBorder="1" applyAlignment="1" applyProtection="1">
      <alignment horizontal="right"/>
      <protection hidden="1"/>
    </xf>
    <xf numFmtId="0" fontId="111" fillId="7" borderId="22" xfId="0" applyFont="1" applyFill="1" applyBorder="1" applyProtection="1">
      <protection hidden="1"/>
    </xf>
    <xf numFmtId="0" fontId="1" fillId="9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12" borderId="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4" fontId="120" fillId="0" borderId="0" xfId="0" applyNumberFormat="1" applyFont="1" applyFill="1" applyBorder="1" applyAlignment="1" applyProtection="1">
      <alignment horizontal="center" vertical="top"/>
      <protection hidden="1"/>
    </xf>
    <xf numFmtId="14" fontId="120" fillId="0" borderId="0" xfId="0" applyNumberFormat="1" applyFont="1" applyBorder="1" applyAlignment="1" applyProtection="1">
      <alignment horizontal="left"/>
      <protection hidden="1"/>
    </xf>
    <xf numFmtId="14" fontId="8" fillId="0" borderId="0" xfId="0" applyNumberFormat="1" applyFont="1" applyBorder="1" applyAlignment="1" applyProtection="1">
      <protection hidden="1"/>
    </xf>
    <xf numFmtId="0" fontId="19" fillId="0" borderId="0" xfId="0" applyFont="1" applyBorder="1" applyAlignment="1" applyProtection="1">
      <alignment vertical="top" wrapText="1"/>
      <protection hidden="1"/>
    </xf>
    <xf numFmtId="17" fontId="99" fillId="0" borderId="0" xfId="0" applyNumberFormat="1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 indent="1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3" fontId="12" fillId="0" borderId="0" xfId="0" applyNumberFormat="1" applyFont="1" applyAlignment="1" applyProtection="1">
      <alignment vertical="top" wrapText="1"/>
      <protection hidden="1"/>
    </xf>
    <xf numFmtId="0" fontId="49" fillId="0" borderId="0" xfId="0" applyFont="1" applyAlignment="1" applyProtection="1">
      <protection hidden="1"/>
    </xf>
    <xf numFmtId="3" fontId="12" fillId="0" borderId="0" xfId="0" applyNumberFormat="1" applyFont="1" applyBorder="1" applyAlignment="1" applyProtection="1">
      <alignment vertical="top" wrapText="1"/>
      <protection hidden="1"/>
    </xf>
    <xf numFmtId="0" fontId="19" fillId="0" borderId="12" xfId="0" applyFont="1" applyBorder="1" applyAlignment="1" applyProtection="1">
      <alignment horizontal="center" vertical="top"/>
      <protection hidden="1"/>
    </xf>
    <xf numFmtId="0" fontId="98" fillId="0" borderId="0" xfId="0" applyFont="1" applyAlignment="1" applyProtection="1">
      <protection hidden="1"/>
    </xf>
    <xf numFmtId="166" fontId="8" fillId="0" borderId="12" xfId="0" applyNumberFormat="1" applyFont="1" applyBorder="1" applyAlignment="1" applyProtection="1">
      <alignment horizontal="right"/>
      <protection hidden="1"/>
    </xf>
    <xf numFmtId="166" fontId="8" fillId="0" borderId="15" xfId="0" applyNumberFormat="1" applyFont="1" applyBorder="1" applyAlignment="1" applyProtection="1">
      <alignment horizontal="right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3"/>
      <protection hidden="1"/>
    </xf>
    <xf numFmtId="0" fontId="19" fillId="0" borderId="0" xfId="0" applyFont="1" applyBorder="1" applyAlignment="1" applyProtection="1">
      <alignment horizontal="right" indent="4"/>
      <protection hidden="1"/>
    </xf>
    <xf numFmtId="17" fontId="99" fillId="0" borderId="0" xfId="0" applyNumberFormat="1" applyFont="1" applyFill="1" applyBorder="1" applyAlignment="1" applyProtection="1">
      <alignment vertical="top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7" fontId="101" fillId="0" borderId="0" xfId="0" applyNumberFormat="1" applyFont="1" applyFill="1" applyBorder="1" applyAlignment="1" applyProtection="1">
      <alignment vertical="top"/>
      <protection hidden="1"/>
    </xf>
    <xf numFmtId="0" fontId="1" fillId="12" borderId="6" xfId="0" applyFont="1" applyFill="1" applyBorder="1" applyProtection="1">
      <protection hidden="1"/>
    </xf>
    <xf numFmtId="0" fontId="49" fillId="0" borderId="0" xfId="0" applyFont="1" applyBorder="1" applyAlignment="1" applyProtection="1">
      <alignment horizontal="right" indent="2"/>
      <protection hidden="1"/>
    </xf>
    <xf numFmtId="17" fontId="101" fillId="0" borderId="0" xfId="0" applyNumberFormat="1" applyFont="1" applyFill="1" applyAlignment="1" applyProtection="1">
      <alignment vertical="top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protection hidden="1"/>
    </xf>
    <xf numFmtId="0" fontId="51" fillId="0" borderId="0" xfId="0" applyFont="1" applyFill="1" applyBorder="1" applyAlignment="1" applyProtection="1">
      <protection hidden="1"/>
    </xf>
    <xf numFmtId="0" fontId="51" fillId="0" borderId="0" xfId="0" applyFont="1" applyBorder="1" applyAlignment="1" applyProtection="1">
      <alignment horizontal="left" indent="1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protection hidden="1"/>
    </xf>
    <xf numFmtId="17" fontId="99" fillId="0" borderId="12" xfId="0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" fontId="62" fillId="0" borderId="0" xfId="0" applyNumberFormat="1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left" indent="1"/>
      <protection hidden="1"/>
    </xf>
    <xf numFmtId="1" fontId="1" fillId="0" borderId="0" xfId="0" applyNumberFormat="1" applyFont="1" applyBorder="1" applyAlignment="1" applyProtection="1">
      <alignment horizontal="left" indent="2"/>
      <protection hidden="1"/>
    </xf>
    <xf numFmtId="49" fontId="8" fillId="0" borderId="0" xfId="0" applyNumberFormat="1" applyFont="1" applyBorder="1" applyAlignment="1" applyProtection="1">
      <alignment horizontal="right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27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128" fillId="14" borderId="0" xfId="0" applyFont="1" applyFill="1"/>
    <xf numFmtId="0" fontId="128" fillId="15" borderId="0" xfId="0" applyFont="1" applyFill="1"/>
    <xf numFmtId="0" fontId="128" fillId="16" borderId="0" xfId="0" applyFont="1" applyFill="1"/>
    <xf numFmtId="0" fontId="129" fillId="14" borderId="0" xfId="0" applyFont="1" applyFill="1"/>
    <xf numFmtId="0" fontId="127" fillId="0" borderId="0" xfId="0" applyFont="1"/>
    <xf numFmtId="0" fontId="51" fillId="17" borderId="0" xfId="0" applyFont="1" applyFill="1"/>
    <xf numFmtId="0" fontId="51" fillId="17" borderId="0" xfId="0" applyFont="1" applyFill="1" applyAlignment="1">
      <alignment horizontal="right"/>
    </xf>
    <xf numFmtId="0" fontId="129" fillId="15" borderId="0" xfId="0" applyFont="1" applyFill="1"/>
    <xf numFmtId="0" fontId="126" fillId="14" borderId="0" xfId="0" applyFont="1" applyFill="1"/>
    <xf numFmtId="0" fontId="130" fillId="15" borderId="0" xfId="0" applyFont="1" applyFill="1"/>
    <xf numFmtId="0" fontId="130" fillId="14" borderId="0" xfId="0" applyFont="1" applyFill="1"/>
    <xf numFmtId="0" fontId="129" fillId="16" borderId="0" xfId="0" applyFont="1" applyFill="1"/>
    <xf numFmtId="0" fontId="128" fillId="18" borderId="0" xfId="0" applyFont="1" applyFill="1"/>
    <xf numFmtId="0" fontId="126" fillId="18" borderId="0" xfId="0" applyFont="1" applyFill="1"/>
    <xf numFmtId="0" fontId="131" fillId="15" borderId="0" xfId="0" applyFont="1" applyFill="1"/>
    <xf numFmtId="0" fontId="131" fillId="14" borderId="0" xfId="0" applyFont="1" applyFill="1"/>
    <xf numFmtId="0" fontId="51" fillId="0" borderId="0" xfId="0" applyFont="1"/>
    <xf numFmtId="0" fontId="0" fillId="19" borderId="0" xfId="0" applyFill="1" applyProtection="1">
      <protection hidden="1"/>
    </xf>
    <xf numFmtId="17" fontId="101" fillId="12" borderId="0" xfId="0" applyNumberFormat="1" applyFont="1" applyFill="1" applyAlignment="1" applyProtection="1">
      <alignment vertical="top"/>
      <protection hidden="1"/>
    </xf>
    <xf numFmtId="0" fontId="16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49" fillId="3" borderId="6" xfId="0" applyFont="1" applyFill="1" applyBorder="1" applyAlignment="1" applyProtection="1">
      <alignment horizontal="left" indent="1"/>
      <protection locked="0"/>
    </xf>
    <xf numFmtId="0" fontId="49" fillId="3" borderId="0" xfId="0" applyFont="1" applyFill="1" applyBorder="1" applyAlignment="1" applyProtection="1">
      <alignment horizontal="left" indent="1"/>
      <protection locked="0"/>
    </xf>
    <xf numFmtId="0" fontId="7" fillId="0" borderId="6" xfId="0" applyFont="1" applyFill="1" applyBorder="1" applyAlignment="1" applyProtection="1">
      <alignment horizontal="left" vertical="top" wrapText="1" indent="1"/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24" fillId="4" borderId="12" xfId="0" applyFont="1" applyFill="1" applyBorder="1" applyAlignment="1" applyProtection="1">
      <alignment horizontal="center" vertical="top"/>
      <protection locked="0"/>
    </xf>
    <xf numFmtId="3" fontId="102" fillId="4" borderId="0" xfId="0" applyNumberFormat="1" applyFont="1" applyFill="1" applyBorder="1" applyAlignment="1" applyProtection="1">
      <alignment horizontal="left" vertical="top" wrapText="1" indent="1"/>
      <protection locked="0"/>
    </xf>
    <xf numFmtId="3" fontId="102" fillId="4" borderId="4" xfId="0" applyNumberFormat="1" applyFont="1" applyFill="1" applyBorder="1" applyAlignment="1" applyProtection="1">
      <alignment horizontal="left" vertical="top" wrapText="1" indent="1"/>
      <protection locked="0"/>
    </xf>
    <xf numFmtId="0" fontId="49" fillId="0" borderId="12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 applyProtection="1">
      <alignment horizontal="left" vertical="center" indent="1"/>
      <protection locked="0"/>
    </xf>
    <xf numFmtId="0" fontId="49" fillId="13" borderId="12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32" fillId="6" borderId="6" xfId="0" applyFont="1" applyFill="1" applyBorder="1" applyAlignment="1" applyProtection="1">
      <alignment horizontal="center" vertical="top" wrapText="1"/>
      <protection hidden="1"/>
    </xf>
    <xf numFmtId="0" fontId="24" fillId="6" borderId="0" xfId="0" applyFont="1" applyFill="1" applyBorder="1" applyAlignment="1" applyProtection="1">
      <alignment horizontal="center" vertical="top"/>
      <protection hidden="1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3" fontId="27" fillId="4" borderId="12" xfId="0" applyNumberFormat="1" applyFont="1" applyFill="1" applyBorder="1" applyAlignment="1" applyProtection="1">
      <alignment horizontal="left" vertical="top"/>
      <protection locked="0"/>
    </xf>
    <xf numFmtId="3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6" fillId="6" borderId="9" xfId="0" applyFont="1" applyFill="1" applyBorder="1" applyAlignment="1" applyProtection="1">
      <alignment horizontal="center" vertical="center"/>
      <protection hidden="1"/>
    </xf>
    <xf numFmtId="0" fontId="46" fillId="6" borderId="13" xfId="0" applyFont="1" applyFill="1" applyBorder="1" applyAlignment="1" applyProtection="1">
      <alignment horizontal="center" vertical="center"/>
      <protection hidden="1"/>
    </xf>
    <xf numFmtId="0" fontId="46" fillId="6" borderId="5" xfId="0" applyFont="1" applyFill="1" applyBorder="1" applyAlignment="1" applyProtection="1">
      <alignment horizontal="center" vertical="center"/>
      <protection hidden="1"/>
    </xf>
    <xf numFmtId="0" fontId="46" fillId="6" borderId="7" xfId="0" applyFont="1" applyFill="1" applyBorder="1" applyAlignment="1" applyProtection="1">
      <alignment horizontal="center" vertical="center"/>
      <protection hidden="1"/>
    </xf>
    <xf numFmtId="0" fontId="46" fillId="6" borderId="12" xfId="0" applyFont="1" applyFill="1" applyBorder="1" applyAlignment="1" applyProtection="1">
      <alignment horizontal="center" vertical="center"/>
      <protection hidden="1"/>
    </xf>
    <xf numFmtId="0" fontId="46" fillId="6" borderId="8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4" borderId="12" xfId="0" applyFont="1" applyFill="1" applyBorder="1" applyAlignment="1" applyProtection="1">
      <alignment horizontal="left" vertical="top" indent="1"/>
      <protection locked="0"/>
    </xf>
    <xf numFmtId="0" fontId="27" fillId="3" borderId="0" xfId="0" applyFont="1" applyFill="1" applyBorder="1" applyAlignment="1" applyProtection="1">
      <alignment horizontal="left" vertical="top" wrapText="1" indent="1"/>
      <protection locked="0"/>
    </xf>
    <xf numFmtId="0" fontId="27" fillId="3" borderId="12" xfId="0" applyFont="1" applyFill="1" applyBorder="1" applyAlignment="1" applyProtection="1">
      <alignment horizontal="left" vertical="top" wrapText="1" indent="1"/>
      <protection locked="0"/>
    </xf>
    <xf numFmtId="0" fontId="101" fillId="11" borderId="9" xfId="0" applyFont="1" applyFill="1" applyBorder="1" applyAlignment="1" applyProtection="1">
      <alignment horizontal="center" vertical="center" wrapText="1"/>
      <protection hidden="1"/>
    </xf>
    <xf numFmtId="0" fontId="101" fillId="11" borderId="13" xfId="0" applyFont="1" applyFill="1" applyBorder="1" applyAlignment="1" applyProtection="1">
      <alignment horizontal="center" vertical="center" wrapText="1"/>
      <protection hidden="1"/>
    </xf>
    <xf numFmtId="0" fontId="101" fillId="11" borderId="5" xfId="0" applyFont="1" applyFill="1" applyBorder="1" applyAlignment="1" applyProtection="1">
      <alignment horizontal="center" vertical="center" wrapText="1"/>
      <protection hidden="1"/>
    </xf>
    <xf numFmtId="0" fontId="78" fillId="11" borderId="0" xfId="0" applyFont="1" applyFill="1" applyBorder="1" applyAlignment="1" applyProtection="1">
      <alignment horizontal="center" vertical="top" wrapText="1"/>
      <protection hidden="1"/>
    </xf>
    <xf numFmtId="0" fontId="78" fillId="11" borderId="4" xfId="0" applyFont="1" applyFill="1" applyBorder="1" applyAlignment="1" applyProtection="1">
      <alignment horizontal="center" vertical="top" wrapText="1"/>
      <protection hidden="1"/>
    </xf>
    <xf numFmtId="0" fontId="44" fillId="11" borderId="18" xfId="0" applyFont="1" applyFill="1" applyBorder="1" applyAlignment="1" applyProtection="1">
      <alignment horizontal="center" vertical="top" wrapText="1"/>
      <protection hidden="1"/>
    </xf>
    <xf numFmtId="0" fontId="44" fillId="11" borderId="0" xfId="0" applyFont="1" applyFill="1" applyBorder="1" applyAlignment="1" applyProtection="1">
      <alignment horizontal="center" vertical="top" wrapText="1"/>
      <protection hidden="1"/>
    </xf>
    <xf numFmtId="0" fontId="44" fillId="11" borderId="4" xfId="0" applyFont="1" applyFill="1" applyBorder="1" applyAlignment="1" applyProtection="1">
      <alignment horizontal="center" vertical="top" wrapText="1"/>
      <protection hidden="1"/>
    </xf>
    <xf numFmtId="0" fontId="24" fillId="6" borderId="9" xfId="0" applyFont="1" applyFill="1" applyBorder="1" applyAlignment="1" applyProtection="1">
      <alignment horizontal="center" vertical="top"/>
      <protection hidden="1"/>
    </xf>
    <xf numFmtId="0" fontId="24" fillId="6" borderId="13" xfId="0" applyFont="1" applyFill="1" applyBorder="1" applyAlignment="1" applyProtection="1">
      <alignment horizontal="center" vertical="top"/>
      <protection hidden="1"/>
    </xf>
    <xf numFmtId="0" fontId="27" fillId="3" borderId="12" xfId="0" applyFont="1" applyFill="1" applyBorder="1" applyAlignment="1" applyProtection="1">
      <alignment horizontal="left" vertical="top" indent="1"/>
      <protection locked="0"/>
    </xf>
    <xf numFmtId="3" fontId="27" fillId="3" borderId="0" xfId="0" applyNumberFormat="1" applyFont="1" applyFill="1" applyBorder="1" applyAlignment="1" applyProtection="1">
      <alignment horizontal="left" vertical="top"/>
      <protection locked="0"/>
    </xf>
    <xf numFmtId="0" fontId="78" fillId="11" borderId="0" xfId="0" applyFont="1" applyFill="1" applyBorder="1" applyAlignment="1" applyProtection="1">
      <alignment horizontal="center" wrapText="1"/>
      <protection hidden="1"/>
    </xf>
    <xf numFmtId="0" fontId="78" fillId="11" borderId="4" xfId="0" applyFont="1" applyFill="1" applyBorder="1" applyAlignment="1" applyProtection="1">
      <alignment horizontal="center" wrapText="1"/>
      <protection hidden="1"/>
    </xf>
    <xf numFmtId="0" fontId="0" fillId="0" borderId="0" xfId="0" applyBorder="1"/>
    <xf numFmtId="0" fontId="27" fillId="4" borderId="12" xfId="0" applyFont="1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5" fillId="11" borderId="23" xfId="0" applyFont="1" applyFill="1" applyBorder="1" applyAlignment="1" applyProtection="1">
      <alignment horizontal="center" vertical="top"/>
      <protection locked="0"/>
    </xf>
    <xf numFmtId="0" fontId="45" fillId="11" borderId="24" xfId="0" applyFont="1" applyFill="1" applyBorder="1" applyAlignment="1" applyProtection="1">
      <alignment horizontal="center" vertical="top"/>
      <protection locked="0"/>
    </xf>
    <xf numFmtId="3" fontId="27" fillId="4" borderId="12" xfId="0" applyNumberFormat="1" applyFont="1" applyFill="1" applyBorder="1" applyAlignment="1" applyProtection="1">
      <alignment horizontal="left" vertical="top" inden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3" fontId="61" fillId="0" borderId="0" xfId="0" applyNumberFormat="1" applyFont="1" applyFill="1" applyBorder="1" applyAlignment="1" applyProtection="1">
      <alignment horizontal="left" vertical="top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top"/>
      <protection hidden="1"/>
    </xf>
    <xf numFmtId="0" fontId="95" fillId="7" borderId="6" xfId="0" applyFont="1" applyFill="1" applyBorder="1" applyAlignment="1" applyProtection="1">
      <alignment horizontal="left" vertical="center" wrapText="1" indent="1"/>
      <protection hidden="1"/>
    </xf>
    <xf numFmtId="0" fontId="95" fillId="7" borderId="0" xfId="0" applyFont="1" applyFill="1" applyBorder="1" applyAlignment="1" applyProtection="1">
      <alignment horizontal="left" vertical="center" wrapText="1" indent="1"/>
      <protection hidden="1"/>
    </xf>
    <xf numFmtId="0" fontId="95" fillId="7" borderId="4" xfId="0" applyFont="1" applyFill="1" applyBorder="1" applyAlignment="1" applyProtection="1">
      <alignment horizontal="left" vertical="center" wrapText="1" indent="1"/>
      <protection hidden="1"/>
    </xf>
    <xf numFmtId="0" fontId="46" fillId="6" borderId="6" xfId="0" applyFont="1" applyFill="1" applyBorder="1" applyAlignment="1" applyProtection="1">
      <alignment horizontal="center" vertical="center"/>
      <protection hidden="1"/>
    </xf>
    <xf numFmtId="0" fontId="46" fillId="6" borderId="0" xfId="0" applyFont="1" applyFill="1" applyBorder="1" applyAlignment="1" applyProtection="1">
      <alignment horizontal="center" vertical="center"/>
      <protection hidden="1"/>
    </xf>
    <xf numFmtId="0" fontId="46" fillId="6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5" fillId="6" borderId="9" xfId="0" applyFont="1" applyFill="1" applyBorder="1" applyAlignment="1" applyProtection="1">
      <alignment horizontal="center" vertical="top"/>
      <protection hidden="1"/>
    </xf>
    <xf numFmtId="0" fontId="25" fillId="6" borderId="13" xfId="0" applyFont="1" applyFill="1" applyBorder="1" applyAlignment="1" applyProtection="1">
      <alignment horizontal="center" vertical="top"/>
      <protection hidden="1"/>
    </xf>
    <xf numFmtId="0" fontId="102" fillId="0" borderId="6" xfId="0" applyFont="1" applyBorder="1" applyAlignment="1" applyProtection="1">
      <alignment horizontal="left" vertical="top" wrapText="1" indent="1"/>
      <protection hidden="1"/>
    </xf>
    <xf numFmtId="0" fontId="102" fillId="0" borderId="0" xfId="0" applyFont="1" applyBorder="1" applyAlignment="1" applyProtection="1">
      <alignment horizontal="left" vertical="top" wrapText="1" indent="1"/>
      <protection hidden="1"/>
    </xf>
    <xf numFmtId="0" fontId="102" fillId="0" borderId="4" xfId="0" applyFont="1" applyBorder="1" applyAlignment="1" applyProtection="1">
      <alignment horizontal="left" vertical="top" wrapText="1" indent="1"/>
      <protection hidden="1"/>
    </xf>
    <xf numFmtId="0" fontId="102" fillId="0" borderId="7" xfId="0" applyFont="1" applyBorder="1" applyAlignment="1" applyProtection="1">
      <alignment horizontal="left" vertical="top" wrapText="1" indent="1"/>
      <protection hidden="1"/>
    </xf>
    <xf numFmtId="0" fontId="102" fillId="0" borderId="12" xfId="0" applyFont="1" applyBorder="1" applyAlignment="1" applyProtection="1">
      <alignment horizontal="left" vertical="top" wrapText="1" indent="1"/>
      <protection hidden="1"/>
    </xf>
    <xf numFmtId="0" fontId="102" fillId="0" borderId="8" xfId="0" applyFont="1" applyBorder="1" applyAlignment="1" applyProtection="1">
      <alignment horizontal="left" vertical="top" wrapText="1" indent="1"/>
      <protection hidden="1"/>
    </xf>
    <xf numFmtId="0" fontId="7" fillId="0" borderId="6" xfId="0" applyFont="1" applyBorder="1" applyAlignment="1" applyProtection="1">
      <alignment horizontal="left" wrapText="1" indent="1"/>
      <protection hidden="1"/>
    </xf>
    <xf numFmtId="0" fontId="67" fillId="2" borderId="6" xfId="1" applyFont="1" applyFill="1" applyBorder="1" applyAlignment="1" applyProtection="1">
      <alignment horizontal="center" vertical="center"/>
      <protection hidden="1"/>
    </xf>
    <xf numFmtId="0" fontId="67" fillId="2" borderId="0" xfId="1" applyFont="1" applyFill="1" applyBorder="1" applyAlignment="1" applyProtection="1">
      <alignment horizontal="center" vertical="center"/>
      <protection hidden="1"/>
    </xf>
    <xf numFmtId="0" fontId="67" fillId="2" borderId="4" xfId="1" applyFont="1" applyFill="1" applyBorder="1" applyAlignment="1" applyProtection="1">
      <alignment horizontal="center" vertical="center"/>
      <protection hidden="1"/>
    </xf>
    <xf numFmtId="0" fontId="104" fillId="0" borderId="0" xfId="0" applyFont="1" applyBorder="1" applyAlignment="1">
      <alignment horizontal="left"/>
    </xf>
    <xf numFmtId="0" fontId="106" fillId="0" borderId="12" xfId="0" applyFont="1" applyBorder="1" applyAlignment="1" applyProtection="1">
      <alignment horizontal="left" vertical="top" wrapText="1"/>
      <protection hidden="1"/>
    </xf>
    <xf numFmtId="0" fontId="62" fillId="0" borderId="10" xfId="0" applyFont="1" applyBorder="1" applyAlignment="1" applyProtection="1">
      <alignment horizontal="left" vertical="top" wrapText="1" indent="1"/>
      <protection hidden="1"/>
    </xf>
    <xf numFmtId="0" fontId="62" fillId="0" borderId="15" xfId="0" applyFont="1" applyBorder="1" applyAlignment="1" applyProtection="1">
      <alignment horizontal="left" vertical="top" wrapText="1" indent="1"/>
      <protection hidden="1"/>
    </xf>
    <xf numFmtId="0" fontId="62" fillId="0" borderId="14" xfId="0" applyFont="1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12" xfId="0" applyBorder="1" applyAlignment="1" applyProtection="1">
      <alignment horizontal="left" wrapText="1" indent="1"/>
      <protection hidden="1"/>
    </xf>
    <xf numFmtId="0" fontId="62" fillId="0" borderId="9" xfId="0" applyFont="1" applyBorder="1" applyAlignment="1" applyProtection="1">
      <alignment horizontal="left" vertical="top" wrapText="1" indent="1"/>
      <protection hidden="1"/>
    </xf>
    <xf numFmtId="0" fontId="62" fillId="0" borderId="13" xfId="0" applyFont="1" applyBorder="1" applyAlignment="1" applyProtection="1">
      <alignment horizontal="left" vertical="top" wrapText="1" indent="1"/>
      <protection hidden="1"/>
    </xf>
    <xf numFmtId="0" fontId="62" fillId="0" borderId="5" xfId="0" applyFont="1" applyBorder="1" applyAlignment="1" applyProtection="1">
      <alignment horizontal="left" vertical="top" wrapText="1" indent="1"/>
      <protection hidden="1"/>
    </xf>
    <xf numFmtId="0" fontId="62" fillId="0" borderId="7" xfId="0" applyFont="1" applyBorder="1" applyAlignment="1" applyProtection="1">
      <alignment horizontal="left" vertical="top" wrapText="1" indent="1"/>
      <protection hidden="1"/>
    </xf>
    <xf numFmtId="0" fontId="62" fillId="0" borderId="12" xfId="0" applyFont="1" applyBorder="1" applyAlignment="1" applyProtection="1">
      <alignment horizontal="left" vertical="top" wrapText="1" indent="1"/>
      <protection hidden="1"/>
    </xf>
    <xf numFmtId="0" fontId="62" fillId="0" borderId="8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left" wrapText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91" fillId="0" borderId="6" xfId="0" applyFont="1" applyBorder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top" wrapText="1"/>
      <protection hidden="1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0" fontId="8" fillId="5" borderId="9" xfId="0" applyFont="1" applyFill="1" applyBorder="1" applyAlignment="1" applyProtection="1">
      <alignment horizontal="center" vertical="top" wrapText="1"/>
      <protection hidden="1"/>
    </xf>
    <xf numFmtId="0" fontId="8" fillId="5" borderId="5" xfId="0" applyFont="1" applyFill="1" applyBorder="1" applyAlignment="1" applyProtection="1">
      <alignment horizontal="center" vertical="top" wrapText="1"/>
      <protection hidden="1"/>
    </xf>
    <xf numFmtId="0" fontId="24" fillId="5" borderId="9" xfId="0" applyFont="1" applyFill="1" applyBorder="1" applyAlignment="1" applyProtection="1">
      <alignment horizontal="center" vertical="center" wrapText="1"/>
      <protection locked="0" hidden="1"/>
    </xf>
    <xf numFmtId="0" fontId="24" fillId="5" borderId="5" xfId="0" applyFont="1" applyFill="1" applyBorder="1" applyAlignment="1" applyProtection="1">
      <alignment horizontal="center" vertical="center" wrapText="1"/>
      <protection locked="0" hidden="1"/>
    </xf>
    <xf numFmtId="0" fontId="24" fillId="5" borderId="7" xfId="0" applyFont="1" applyFill="1" applyBorder="1" applyAlignment="1" applyProtection="1">
      <alignment horizontal="center" vertical="center" wrapText="1"/>
      <protection locked="0" hidden="1"/>
    </xf>
    <xf numFmtId="0" fontId="24" fillId="5" borderId="8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12" fillId="0" borderId="7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 applyProtection="1">
      <alignment horizontal="center" vertical="top" wrapText="1"/>
      <protection hidden="1"/>
    </xf>
    <xf numFmtId="0" fontId="16" fillId="5" borderId="7" xfId="0" applyFont="1" applyFill="1" applyBorder="1" applyAlignment="1" applyProtection="1">
      <alignment horizontal="center" vertical="top" wrapText="1"/>
      <protection hidden="1"/>
    </xf>
    <xf numFmtId="0" fontId="16" fillId="5" borderId="8" xfId="0" applyFont="1" applyFill="1" applyBorder="1" applyAlignment="1" applyProtection="1">
      <alignment horizontal="center" vertical="top" wrapTex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0" fillId="0" borderId="10" xfId="0" quotePrefix="1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4" xfId="0" quotePrefix="1" applyFont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24" fillId="0" borderId="2" xfId="0" applyFont="1" applyBorder="1" applyAlignment="1" applyProtection="1">
      <alignment horizontal="center" vertical="center"/>
      <protection locked="0"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98" fillId="0" borderId="0" xfId="0" applyFont="1" applyAlignment="1" applyProtection="1">
      <alignment horizontal="justify" vertical="top" wrapText="1"/>
      <protection hidden="1"/>
    </xf>
    <xf numFmtId="0" fontId="47" fillId="0" borderId="13" xfId="0" applyFont="1" applyBorder="1" applyAlignment="1" applyProtection="1">
      <alignment horizontal="center" wrapText="1"/>
      <protection hidden="1"/>
    </xf>
    <xf numFmtId="0" fontId="67" fillId="0" borderId="0" xfId="1" applyFont="1" applyAlignment="1" applyProtection="1">
      <alignment horizontal="center"/>
    </xf>
    <xf numFmtId="0" fontId="34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0" fontId="8" fillId="0" borderId="0" xfId="0" applyFont="1" applyAlignment="1" applyProtection="1">
      <alignment horizontal="left" wrapText="1" indent="1"/>
      <protection hidden="1"/>
    </xf>
    <xf numFmtId="0" fontId="8" fillId="0" borderId="0" xfId="0" applyFont="1" applyBorder="1" applyAlignment="1" applyProtection="1">
      <alignment horizontal="right" vertical="top" indent="1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9" fillId="0" borderId="12" xfId="0" applyFont="1" applyBorder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vertical="top" inden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left" vertical="top" indent="1"/>
      <protection hidden="1"/>
    </xf>
    <xf numFmtId="0" fontId="49" fillId="0" borderId="15" xfId="0" applyFont="1" applyFill="1" applyBorder="1" applyAlignment="1" applyProtection="1">
      <alignment horizontal="left" vertical="top" indent="1"/>
      <protection hidden="1"/>
    </xf>
    <xf numFmtId="164" fontId="49" fillId="0" borderId="12" xfId="0" applyNumberFormat="1" applyFont="1" applyFill="1" applyBorder="1" applyAlignment="1" applyProtection="1">
      <alignment horizontal="left" vertical="top" inden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right" indent="1"/>
      <protection hidden="1"/>
    </xf>
    <xf numFmtId="0" fontId="52" fillId="0" borderId="12" xfId="0" applyFont="1" applyBorder="1" applyAlignment="1" applyProtection="1">
      <alignment horizontal="left"/>
      <protection hidden="1"/>
    </xf>
    <xf numFmtId="3" fontId="7" fillId="0" borderId="9" xfId="0" applyNumberFormat="1" applyFont="1" applyBorder="1" applyAlignment="1" applyProtection="1">
      <alignment horizontal="left" vertical="top" wrapText="1"/>
    </xf>
    <xf numFmtId="3" fontId="7" fillId="0" borderId="13" xfId="0" applyNumberFormat="1" applyFont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left" vertical="top" wrapText="1"/>
    </xf>
    <xf numFmtId="3" fontId="7" fillId="0" borderId="6" xfId="0" applyNumberFormat="1" applyFont="1" applyBorder="1" applyAlignment="1" applyProtection="1">
      <alignment horizontal="left" vertical="top" wrapText="1"/>
    </xf>
    <xf numFmtId="3" fontId="7" fillId="0" borderId="0" xfId="0" applyNumberFormat="1" applyFont="1" applyBorder="1" applyAlignment="1" applyProtection="1">
      <alignment horizontal="left" vertical="top" wrapText="1"/>
    </xf>
    <xf numFmtId="3" fontId="7" fillId="0" borderId="4" xfId="0" applyNumberFormat="1" applyFont="1" applyBorder="1" applyAlignment="1" applyProtection="1">
      <alignment horizontal="left" vertical="top" wrapText="1"/>
    </xf>
    <xf numFmtId="3" fontId="7" fillId="0" borderId="7" xfId="0" applyNumberFormat="1" applyFont="1" applyBorder="1" applyAlignment="1" applyProtection="1">
      <alignment horizontal="left" vertical="top" wrapText="1"/>
    </xf>
    <xf numFmtId="3" fontId="7" fillId="0" borderId="12" xfId="0" applyNumberFormat="1" applyFont="1" applyBorder="1" applyAlignment="1" applyProtection="1">
      <alignment horizontal="left" vertical="top" wrapText="1"/>
    </xf>
    <xf numFmtId="3" fontId="7" fillId="0" borderId="8" xfId="0" applyNumberFormat="1" applyFont="1" applyBorder="1" applyAlignment="1" applyProtection="1">
      <alignment horizontal="left" vertical="top" wrapText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24" fillId="5" borderId="2" xfId="0" applyFont="1" applyFill="1" applyBorder="1" applyAlignment="1" applyProtection="1">
      <alignment horizontal="center" vertical="center" wrapText="1"/>
      <protection hidden="1"/>
    </xf>
    <xf numFmtId="0" fontId="24" fillId="5" borderId="11" xfId="0" applyFont="1" applyFill="1" applyBorder="1" applyAlignment="1" applyProtection="1">
      <alignment horizontal="center" vertical="center" wrapText="1"/>
      <protection hidden="1"/>
    </xf>
    <xf numFmtId="0" fontId="24" fillId="5" borderId="6" xfId="0" applyFont="1" applyFill="1" applyBorder="1" applyAlignment="1" applyProtection="1">
      <alignment horizontal="center" vertical="center" wrapText="1"/>
      <protection locked="0" hidden="1"/>
    </xf>
    <xf numFmtId="0" fontId="24" fillId="5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11" xfId="0" applyFont="1" applyFill="1" applyBorder="1" applyAlignment="1" applyProtection="1">
      <alignment horizontal="center" vertical="center" wrapText="1"/>
      <protection locked="0" hidden="1"/>
    </xf>
    <xf numFmtId="0" fontId="24" fillId="0" borderId="2" xfId="0" applyFont="1" applyBorder="1" applyAlignment="1" applyProtection="1">
      <alignment horizontal="center" vertical="center" wrapText="1"/>
      <protection locked="0" hidden="1"/>
    </xf>
    <xf numFmtId="0" fontId="24" fillId="0" borderId="11" xfId="0" applyFont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27" fillId="0" borderId="2" xfId="0" applyFont="1" applyBorder="1" applyAlignment="1" applyProtection="1">
      <alignment horizontal="center" vertical="center"/>
      <protection locked="0" hidden="1"/>
    </xf>
    <xf numFmtId="0" fontId="37" fillId="0" borderId="11" xfId="0" applyFont="1" applyBorder="1" applyProtection="1">
      <protection locked="0" hidden="1"/>
    </xf>
    <xf numFmtId="0" fontId="27" fillId="0" borderId="2" xfId="0" applyFont="1" applyBorder="1" applyAlignment="1" applyProtection="1">
      <alignment horizontal="center" vertical="center" wrapText="1"/>
      <protection locked="0" hidden="1"/>
    </xf>
    <xf numFmtId="0" fontId="27" fillId="0" borderId="11" xfId="0" applyFont="1" applyBorder="1" applyAlignment="1" applyProtection="1">
      <alignment horizontal="center" vertical="center" wrapText="1"/>
      <protection locked="0" hidden="1"/>
    </xf>
    <xf numFmtId="0" fontId="41" fillId="0" borderId="6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4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locked="0" hidden="1"/>
    </xf>
    <xf numFmtId="0" fontId="37" fillId="0" borderId="13" xfId="0" applyFont="1" applyBorder="1" applyProtection="1">
      <protection locked="0" hidden="1"/>
    </xf>
    <xf numFmtId="0" fontId="37" fillId="0" borderId="7" xfId="0" applyFont="1" applyBorder="1" applyProtection="1">
      <protection locked="0" hidden="1"/>
    </xf>
    <xf numFmtId="0" fontId="37" fillId="0" borderId="12" xfId="0" applyFont="1" applyBorder="1" applyProtection="1">
      <protection locked="0"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37" fillId="0" borderId="5" xfId="0" applyFont="1" applyBorder="1" applyProtection="1"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0" fontId="77" fillId="0" borderId="5" xfId="0" applyFont="1" applyBorder="1" applyAlignment="1" applyProtection="1">
      <alignment horizontal="left" vertical="top" wrapText="1"/>
      <protection hidden="1"/>
    </xf>
    <xf numFmtId="0" fontId="77" fillId="0" borderId="6" xfId="0" applyFont="1" applyBorder="1" applyAlignment="1" applyProtection="1">
      <alignment horizontal="left" vertical="top" wrapText="1"/>
      <protection hidden="1"/>
    </xf>
    <xf numFmtId="0" fontId="77" fillId="0" borderId="4" xfId="0" applyFont="1" applyBorder="1" applyAlignment="1" applyProtection="1">
      <alignment horizontal="left" vertical="top" wrapText="1"/>
      <protection hidden="1"/>
    </xf>
    <xf numFmtId="0" fontId="77" fillId="0" borderId="7" xfId="0" applyFont="1" applyBorder="1" applyAlignment="1" applyProtection="1">
      <alignment horizontal="left" vertical="top" wrapText="1"/>
      <protection hidden="1"/>
    </xf>
    <xf numFmtId="0" fontId="77" fillId="0" borderId="8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 applyProtection="1">
      <alignment horizontal="center" vertical="top" wrapText="1"/>
      <protection hidden="1"/>
    </xf>
    <xf numFmtId="0" fontId="37" fillId="0" borderId="5" xfId="0" applyFont="1" applyBorder="1" applyProtection="1">
      <protection locked="0" hidden="1"/>
    </xf>
    <xf numFmtId="0" fontId="37" fillId="0" borderId="8" xfId="0" applyFont="1" applyBorder="1" applyProtection="1">
      <protection locked="0"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3" fontId="7" fillId="0" borderId="9" xfId="0" applyNumberFormat="1" applyFont="1" applyBorder="1" applyAlignment="1" applyProtection="1">
      <alignment horizontal="left" vertical="top" wrapText="1"/>
      <protection locked="0"/>
    </xf>
    <xf numFmtId="3" fontId="7" fillId="0" borderId="13" xfId="0" applyNumberFormat="1" applyFont="1" applyBorder="1" applyAlignment="1" applyProtection="1">
      <alignment horizontal="left" vertical="top" wrapText="1"/>
      <protection locked="0"/>
    </xf>
    <xf numFmtId="3" fontId="7" fillId="0" borderId="5" xfId="0" applyNumberFormat="1" applyFont="1" applyBorder="1" applyAlignment="1" applyProtection="1">
      <alignment horizontal="left" vertical="top" wrapText="1"/>
      <protection locked="0"/>
    </xf>
    <xf numFmtId="3" fontId="7" fillId="0" borderId="6" xfId="0" applyNumberFormat="1" applyFont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 wrapText="1"/>
      <protection locked="0"/>
    </xf>
    <xf numFmtId="3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7" xfId="0" applyNumberFormat="1" applyFont="1" applyBorder="1" applyAlignment="1" applyProtection="1">
      <alignment horizontal="left" vertical="top" wrapText="1"/>
      <protection locked="0"/>
    </xf>
    <xf numFmtId="3" fontId="7" fillId="0" borderId="12" xfId="0" applyNumberFormat="1" applyFont="1" applyBorder="1" applyAlignment="1" applyProtection="1">
      <alignment horizontal="left" vertical="top" wrapText="1"/>
      <protection locked="0"/>
    </xf>
    <xf numFmtId="3" fontId="7" fillId="0" borderId="8" xfId="0" applyNumberFormat="1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left" vertical="top" wrapText="1"/>
      <protection hidden="1"/>
    </xf>
    <xf numFmtId="0" fontId="12" fillId="0" borderId="8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top" wrapText="1"/>
      <protection hidden="1"/>
    </xf>
    <xf numFmtId="0" fontId="12" fillId="0" borderId="5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8" fillId="5" borderId="3" xfId="0" applyFont="1" applyFill="1" applyBorder="1" applyAlignment="1" applyProtection="1">
      <alignment horizontal="left" vertical="top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8" fillId="0" borderId="2" xfId="0" applyFont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75" fillId="0" borderId="2" xfId="0" applyFont="1" applyBorder="1" applyAlignment="1" applyProtection="1">
      <alignment horizontal="center" vertical="center" wrapText="1"/>
      <protection hidden="1"/>
    </xf>
    <xf numFmtId="0" fontId="75" fillId="0" borderId="3" xfId="0" applyFont="1" applyBorder="1" applyAlignment="1" applyProtection="1">
      <alignment horizontal="center" vertical="center" wrapText="1"/>
      <protection hidden="1"/>
    </xf>
    <xf numFmtId="0" fontId="75" fillId="0" borderId="11" xfId="0" applyFont="1" applyBorder="1" applyAlignment="1" applyProtection="1">
      <alignment horizontal="center" vertical="center" wrapText="1"/>
      <protection hidden="1"/>
    </xf>
    <xf numFmtId="0" fontId="27" fillId="0" borderId="9" xfId="0" applyFont="1" applyBorder="1" applyAlignment="1" applyProtection="1">
      <alignment horizontal="center" vertical="center"/>
      <protection locked="0" hidden="1"/>
    </xf>
    <xf numFmtId="0" fontId="27" fillId="0" borderId="5" xfId="0" applyFont="1" applyBorder="1" applyAlignment="1" applyProtection="1">
      <alignment horizontal="center" vertical="center"/>
      <protection locked="0" hidden="1"/>
    </xf>
    <xf numFmtId="0" fontId="27" fillId="0" borderId="7" xfId="0" applyFont="1" applyBorder="1" applyAlignment="1" applyProtection="1">
      <alignment horizontal="center" vertical="center"/>
      <protection locked="0" hidden="1"/>
    </xf>
    <xf numFmtId="0" fontId="27" fillId="0" borderId="8" xfId="0" applyFont="1" applyBorder="1" applyAlignment="1" applyProtection="1">
      <alignment horizontal="center" vertical="center"/>
      <protection locked="0" hidden="1"/>
    </xf>
    <xf numFmtId="49" fontId="10" fillId="0" borderId="10" xfId="0" applyNumberFormat="1" applyFont="1" applyBorder="1" applyAlignment="1" applyProtection="1">
      <alignment horizontal="center" vertical="top" wrapText="1"/>
      <protection hidden="1"/>
    </xf>
    <xf numFmtId="49" fontId="10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41" fillId="0" borderId="6" xfId="0" applyFont="1" applyBorder="1" applyAlignment="1" applyProtection="1">
      <alignment vertical="top" wrapText="1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/>
      <protection locked="0" hidden="1"/>
    </xf>
    <xf numFmtId="0" fontId="24" fillId="0" borderId="6" xfId="0" applyFont="1" applyBorder="1" applyAlignment="1" applyProtection="1">
      <alignment horizontal="center" vertical="center"/>
      <protection locked="0" hidden="1"/>
    </xf>
    <xf numFmtId="0" fontId="24" fillId="0" borderId="4" xfId="0" applyFont="1" applyBorder="1" applyAlignment="1" applyProtection="1">
      <alignment horizontal="center" vertical="center"/>
      <protection locked="0" hidden="1"/>
    </xf>
    <xf numFmtId="0" fontId="24" fillId="0" borderId="7" xfId="0" applyFont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Protection="1">
      <protection locked="0" hidden="1"/>
    </xf>
    <xf numFmtId="0" fontId="18" fillId="2" borderId="15" xfId="1" applyFill="1" applyBorder="1" applyAlignment="1" applyProtection="1">
      <alignment horizontal="left" vertical="top"/>
      <protection hidden="1"/>
    </xf>
    <xf numFmtId="0" fontId="18" fillId="2" borderId="12" xfId="1" applyFill="1" applyBorder="1" applyAlignment="1" applyProtection="1">
      <alignment horizontal="left" vertical="top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horizontal="left" vertical="top" wrapText="1"/>
      <protection hidden="1"/>
    </xf>
    <xf numFmtId="0" fontId="8" fillId="0" borderId="7" xfId="0" applyFont="1" applyBorder="1" applyAlignment="1" applyProtection="1">
      <alignment horizontal="left" vertical="top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18" fillId="2" borderId="15" xfId="1" applyFill="1" applyBorder="1" applyAlignment="1" applyProtection="1">
      <alignment horizontal="center"/>
      <protection hidden="1"/>
    </xf>
    <xf numFmtId="0" fontId="67" fillId="2" borderId="23" xfId="1" applyFont="1" applyFill="1" applyBorder="1" applyAlignment="1" applyProtection="1">
      <alignment horizontal="center" vertical="top" wrapText="1"/>
      <protection hidden="1"/>
    </xf>
    <xf numFmtId="0" fontId="67" fillId="2" borderId="25" xfId="1" applyFont="1" applyFill="1" applyBorder="1" applyAlignment="1" applyProtection="1">
      <alignment horizontal="center" vertical="top" wrapText="1"/>
      <protection hidden="1"/>
    </xf>
    <xf numFmtId="0" fontId="67" fillId="2" borderId="24" xfId="1" applyFont="1" applyFill="1" applyBorder="1" applyAlignment="1" applyProtection="1">
      <alignment horizontal="center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27" fillId="0" borderId="13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1" fillId="0" borderId="12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7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14" fontId="8" fillId="0" borderId="3" xfId="0" applyNumberFormat="1" applyFont="1" applyBorder="1" applyAlignment="1" applyProtection="1">
      <alignment horizontal="center" vertical="top" wrapText="1"/>
      <protection hidden="1"/>
    </xf>
    <xf numFmtId="14" fontId="8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2" xfId="0" applyFont="1" applyBorder="1" applyAlignment="1" applyProtection="1">
      <alignment horizontal="left" vertical="center" wrapText="1" indent="1"/>
      <protection hidden="1"/>
    </xf>
    <xf numFmtId="0" fontId="83" fillId="0" borderId="10" xfId="0" applyFont="1" applyBorder="1" applyAlignment="1" applyProtection="1">
      <alignment horizontal="left" vertical="top" wrapText="1" indent="1"/>
      <protection hidden="1"/>
    </xf>
    <xf numFmtId="0" fontId="8" fillId="0" borderId="14" xfId="0" applyFont="1" applyBorder="1" applyAlignment="1" applyProtection="1">
      <alignment horizontal="left" vertical="top" wrapText="1" indent="1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top" wrapText="1" indent="3"/>
      <protection hidden="1"/>
    </xf>
    <xf numFmtId="0" fontId="8" fillId="0" borderId="15" xfId="0" applyFont="1" applyBorder="1" applyAlignment="1" applyProtection="1">
      <alignment horizontal="left" vertical="top" wrapText="1" indent="3"/>
      <protection hidden="1"/>
    </xf>
    <xf numFmtId="0" fontId="8" fillId="0" borderId="14" xfId="0" applyFont="1" applyBorder="1" applyAlignment="1" applyProtection="1">
      <alignment horizontal="left" vertical="top" wrapText="1" indent="3"/>
      <protection hidden="1"/>
    </xf>
    <xf numFmtId="0" fontId="37" fillId="0" borderId="8" xfId="0" applyFont="1" applyBorder="1" applyProtection="1">
      <protection hidden="1"/>
    </xf>
    <xf numFmtId="0" fontId="49" fillId="0" borderId="0" xfId="0" applyFont="1" applyAlignment="1" applyProtection="1">
      <alignment horizontal="center" vertical="top" wrapText="1"/>
      <protection hidden="1"/>
    </xf>
    <xf numFmtId="0" fontId="37" fillId="0" borderId="14" xfId="0" applyFont="1" applyBorder="1" applyProtection="1">
      <protection hidden="1"/>
    </xf>
    <xf numFmtId="0" fontId="76" fillId="0" borderId="5" xfId="0" applyFont="1" applyBorder="1" applyAlignment="1" applyProtection="1">
      <alignment horizontal="left" vertical="top" wrapText="1"/>
      <protection hidden="1"/>
    </xf>
    <xf numFmtId="0" fontId="76" fillId="0" borderId="6" xfId="0" applyFont="1" applyBorder="1" applyAlignment="1" applyProtection="1">
      <alignment horizontal="left" vertical="top" wrapText="1"/>
      <protection hidden="1"/>
    </xf>
    <xf numFmtId="0" fontId="76" fillId="0" borderId="4" xfId="0" applyFont="1" applyBorder="1" applyAlignment="1" applyProtection="1">
      <alignment horizontal="left" vertical="top" wrapText="1"/>
      <protection hidden="1"/>
    </xf>
    <xf numFmtId="0" fontId="76" fillId="0" borderId="7" xfId="0" applyFont="1" applyBorder="1" applyAlignment="1" applyProtection="1">
      <alignment horizontal="left" vertical="top" wrapText="1"/>
      <protection hidden="1"/>
    </xf>
    <xf numFmtId="0" fontId="76" fillId="0" borderId="8" xfId="0" applyFont="1" applyBorder="1" applyAlignment="1" applyProtection="1">
      <alignment horizontal="left" vertical="top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left"/>
      <protection hidden="1"/>
    </xf>
    <xf numFmtId="0" fontId="12" fillId="5" borderId="6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hidden="1"/>
    </xf>
    <xf numFmtId="0" fontId="12" fillId="5" borderId="4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left" vertical="top" wrapText="1"/>
      <protection hidden="1"/>
    </xf>
    <xf numFmtId="17" fontId="10" fillId="5" borderId="10" xfId="0" applyNumberFormat="1" applyFont="1" applyFill="1" applyBorder="1" applyAlignment="1" applyProtection="1">
      <alignment horizontal="center" vertical="top" wrapText="1"/>
      <protection hidden="1"/>
    </xf>
    <xf numFmtId="17" fontId="10" fillId="5" borderId="14" xfId="0" applyNumberFormat="1" applyFont="1" applyFill="1" applyBorder="1" applyAlignment="1" applyProtection="1">
      <alignment horizontal="center" vertical="top" wrapText="1"/>
      <protection hidden="1"/>
    </xf>
    <xf numFmtId="0" fontId="12" fillId="5" borderId="7" xfId="0" applyFont="1" applyFill="1" applyBorder="1" applyAlignment="1" applyProtection="1">
      <alignment horizontal="left" vertical="top" wrapText="1"/>
      <protection hidden="1"/>
    </xf>
    <xf numFmtId="0" fontId="12" fillId="5" borderId="8" xfId="0" applyFont="1" applyFill="1" applyBorder="1" applyAlignment="1" applyProtection="1">
      <alignment horizontal="left" vertical="top" wrapText="1"/>
      <protection hidden="1"/>
    </xf>
    <xf numFmtId="0" fontId="7" fillId="5" borderId="9" xfId="0" applyFont="1" applyFill="1" applyBorder="1" applyAlignment="1" applyProtection="1">
      <alignment horizontal="left" vertical="top" wrapText="1"/>
      <protection hidden="1"/>
    </xf>
    <xf numFmtId="0" fontId="7" fillId="5" borderId="5" xfId="0" applyFont="1" applyFill="1" applyBorder="1" applyAlignment="1" applyProtection="1">
      <alignment horizontal="left" vertical="top" wrapText="1"/>
      <protection hidden="1"/>
    </xf>
    <xf numFmtId="0" fontId="7" fillId="5" borderId="6" xfId="0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0" fontId="66" fillId="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wrapText="1" indent="1"/>
      <protection hidden="1"/>
    </xf>
    <xf numFmtId="14" fontId="8" fillId="5" borderId="2" xfId="0" applyNumberFormat="1" applyFont="1" applyFill="1" applyBorder="1" applyAlignment="1" applyProtection="1">
      <alignment horizontal="center" vertical="top" wrapText="1"/>
      <protection hidden="1"/>
    </xf>
    <xf numFmtId="14" fontId="8" fillId="5" borderId="3" xfId="0" applyNumberFormat="1" applyFont="1" applyFill="1" applyBorder="1" applyAlignment="1" applyProtection="1">
      <alignment horizontal="center" vertical="top" wrapText="1"/>
      <protection hidden="1"/>
    </xf>
    <xf numFmtId="14" fontId="8" fillId="5" borderId="11" xfId="0" applyNumberFormat="1" applyFont="1" applyFill="1" applyBorder="1" applyAlignment="1" applyProtection="1">
      <alignment horizontal="center" vertical="top" wrapText="1"/>
      <protection hidden="1"/>
    </xf>
    <xf numFmtId="0" fontId="8" fillId="5" borderId="5" xfId="0" applyFont="1" applyFill="1" applyBorder="1" applyAlignment="1" applyProtection="1">
      <alignment horizontal="left" vertical="top" wrapText="1"/>
      <protection hidden="1"/>
    </xf>
    <xf numFmtId="0" fontId="8" fillId="5" borderId="6" xfId="0" applyFont="1" applyFill="1" applyBorder="1" applyAlignment="1" applyProtection="1">
      <alignment horizontal="left" vertical="top" wrapText="1"/>
      <protection hidden="1"/>
    </xf>
    <xf numFmtId="0" fontId="8" fillId="5" borderId="4" xfId="0" applyFont="1" applyFill="1" applyBorder="1" applyAlignment="1" applyProtection="1">
      <alignment horizontal="left" vertical="top" wrapText="1"/>
      <protection hidden="1"/>
    </xf>
    <xf numFmtId="0" fontId="8" fillId="5" borderId="7" xfId="0" applyFont="1" applyFill="1" applyBorder="1" applyAlignment="1" applyProtection="1">
      <alignment horizontal="left" vertical="top" wrapText="1"/>
      <protection hidden="1"/>
    </xf>
    <xf numFmtId="0" fontId="8" fillId="5" borderId="8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19" fillId="0" borderId="15" xfId="0" applyFont="1" applyBorder="1" applyAlignment="1" applyProtection="1">
      <alignment horizontal="right" vertical="top" indent="1"/>
      <protection hidden="1"/>
    </xf>
    <xf numFmtId="0" fontId="19" fillId="0" borderId="15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 wrapText="1" indent="1"/>
      <protection hidden="1"/>
    </xf>
    <xf numFmtId="0" fontId="19" fillId="0" borderId="15" xfId="0" applyFont="1" applyBorder="1" applyAlignment="1" applyProtection="1">
      <alignment horizontal="left" vertical="top" indent="1"/>
      <protection hidden="1"/>
    </xf>
    <xf numFmtId="0" fontId="49" fillId="0" borderId="12" xfId="0" applyFont="1" applyFill="1" applyBorder="1" applyAlignment="1" applyProtection="1">
      <alignment horizontal="left" vertical="top" indent="1"/>
      <protection hidden="1"/>
    </xf>
    <xf numFmtId="0" fontId="121" fillId="0" borderId="0" xfId="0" applyFon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5" fillId="5" borderId="9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24" fillId="5" borderId="9" xfId="0" applyFont="1" applyFill="1" applyBorder="1" applyAlignment="1" applyProtection="1">
      <alignment horizontal="center" vertical="center" wrapText="1"/>
      <protection hidden="1"/>
    </xf>
    <xf numFmtId="0" fontId="24" fillId="5" borderId="5" xfId="0" applyFont="1" applyFill="1" applyBorder="1" applyAlignment="1" applyProtection="1">
      <alignment horizontal="center" vertical="center" wrapText="1"/>
      <protection hidden="1"/>
    </xf>
    <xf numFmtId="0" fontId="24" fillId="5" borderId="7" xfId="0" applyFont="1" applyFill="1" applyBorder="1" applyAlignment="1" applyProtection="1">
      <alignment horizontal="center" vertical="center" wrapText="1"/>
      <protection hidden="1"/>
    </xf>
    <xf numFmtId="0" fontId="24" fillId="5" borderId="8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top" wrapText="1"/>
      <protection hidden="1"/>
    </xf>
    <xf numFmtId="0" fontId="12" fillId="5" borderId="13" xfId="0" applyFont="1" applyFill="1" applyBorder="1" applyAlignment="1" applyProtection="1">
      <alignment horizontal="center" vertical="top" wrapText="1"/>
      <protection hidden="1"/>
    </xf>
    <xf numFmtId="0" fontId="12" fillId="5" borderId="5" xfId="0" applyFont="1" applyFill="1" applyBorder="1" applyAlignment="1" applyProtection="1">
      <alignment horizontal="center" vertical="top" wrapText="1"/>
      <protection hidden="1"/>
    </xf>
    <xf numFmtId="0" fontId="12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0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horizontal="center" vertical="top" wrapText="1"/>
      <protection hidden="1"/>
    </xf>
    <xf numFmtId="0" fontId="12" fillId="5" borderId="7" xfId="0" applyFont="1" applyFill="1" applyBorder="1" applyAlignment="1" applyProtection="1">
      <alignment horizontal="center" vertical="top" wrapText="1"/>
      <protection hidden="1"/>
    </xf>
    <xf numFmtId="0" fontId="12" fillId="5" borderId="12" xfId="0" applyFont="1" applyFill="1" applyBorder="1" applyAlignment="1" applyProtection="1">
      <alignment horizontal="center" vertical="top" wrapText="1"/>
      <protection hidden="1"/>
    </xf>
    <xf numFmtId="0" fontId="12" fillId="5" borderId="8" xfId="0" applyFont="1" applyFill="1" applyBorder="1" applyAlignment="1" applyProtection="1">
      <alignment horizontal="center" vertical="top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top" wrapText="1"/>
      <protection hidden="1"/>
    </xf>
    <xf numFmtId="0" fontId="10" fillId="5" borderId="14" xfId="0" applyFont="1" applyFill="1" applyBorder="1" applyAlignment="1" applyProtection="1">
      <alignment horizontal="center" vertical="top" wrapText="1"/>
      <protection hidden="1"/>
    </xf>
    <xf numFmtId="0" fontId="24" fillId="5" borderId="13" xfId="0" applyFont="1" applyFill="1" applyBorder="1" applyAlignment="1" applyProtection="1">
      <alignment horizontal="center" vertical="center" wrapText="1"/>
      <protection locked="0" hidden="1"/>
    </xf>
    <xf numFmtId="0" fontId="24" fillId="5" borderId="12" xfId="0" applyFont="1" applyFill="1" applyBorder="1" applyAlignment="1" applyProtection="1">
      <alignment horizontal="center" vertical="center" wrapText="1"/>
      <protection locked="0"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13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Border="1" applyAlignment="1" applyProtection="1">
      <alignment horizontal="justify" vertical="top" wrapText="1"/>
      <protection hidden="1"/>
    </xf>
    <xf numFmtId="0" fontId="12" fillId="0" borderId="6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12" fillId="0" borderId="12" xfId="0" applyFont="1" applyFill="1" applyBorder="1" applyAlignment="1" applyProtection="1">
      <alignment horizontal="lef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6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horizontal="left" vertical="top" wrapText="1"/>
      <protection hidden="1"/>
    </xf>
    <xf numFmtId="0" fontId="41" fillId="0" borderId="4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locked="0" hidden="1"/>
    </xf>
    <xf numFmtId="0" fontId="24" fillId="0" borderId="7" xfId="0" applyFont="1" applyBorder="1" applyAlignment="1" applyProtection="1">
      <alignment horizontal="center" vertical="center" wrapText="1"/>
      <protection locked="0" hidden="1"/>
    </xf>
    <xf numFmtId="0" fontId="24" fillId="0" borderId="12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locked="0" hidden="1"/>
    </xf>
    <xf numFmtId="0" fontId="27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14" xfId="0" applyBorder="1"/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/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9" fillId="0" borderId="6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33"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strike/>
        <color rgb="FFC00000"/>
        <name val="Cambria"/>
        <scheme val="none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lor indexed="6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807720</xdr:colOff>
      <xdr:row>41</xdr:row>
      <xdr:rowOff>182880</xdr:rowOff>
    </xdr:to>
    <xdr:sp macro="" textlink="">
      <xdr:nvSpPr>
        <xdr:cNvPr id="9807" name="Line 54"/>
        <xdr:cNvSpPr>
          <a:spLocks noChangeShapeType="1"/>
        </xdr:cNvSpPr>
      </xdr:nvSpPr>
      <xdr:spPr bwMode="auto">
        <a:xfrm>
          <a:off x="1112520" y="1600200"/>
          <a:ext cx="5699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466</xdr:row>
      <xdr:rowOff>0</xdr:rowOff>
    </xdr:from>
    <xdr:to>
      <xdr:col>6</xdr:col>
      <xdr:colOff>0</xdr:colOff>
      <xdr:row>466</xdr:row>
      <xdr:rowOff>0</xdr:rowOff>
    </xdr:to>
    <xdr:sp macro="" textlink="">
      <xdr:nvSpPr>
        <xdr:cNvPr id="9808" name="Line 116"/>
        <xdr:cNvSpPr>
          <a:spLocks noChangeShapeType="1"/>
        </xdr:cNvSpPr>
      </xdr:nvSpPr>
      <xdr:spPr bwMode="auto">
        <a:xfrm>
          <a:off x="1943100" y="84231480"/>
          <a:ext cx="20345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466</xdr:row>
      <xdr:rowOff>0</xdr:rowOff>
    </xdr:from>
    <xdr:to>
      <xdr:col>8</xdr:col>
      <xdr:colOff>30480</xdr:colOff>
      <xdr:row>466</xdr:row>
      <xdr:rowOff>0</xdr:rowOff>
    </xdr:to>
    <xdr:sp macro="" textlink="">
      <xdr:nvSpPr>
        <xdr:cNvPr id="9809" name="Line 117"/>
        <xdr:cNvSpPr>
          <a:spLocks noChangeShapeType="1"/>
        </xdr:cNvSpPr>
      </xdr:nvSpPr>
      <xdr:spPr bwMode="auto">
        <a:xfrm>
          <a:off x="3977640" y="84231480"/>
          <a:ext cx="1447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365760</xdr:colOff>
      <xdr:row>467</xdr:row>
      <xdr:rowOff>0</xdr:rowOff>
    </xdr:from>
    <xdr:to>
      <xdr:col>4</xdr:col>
      <xdr:colOff>601980</xdr:colOff>
      <xdr:row>467</xdr:row>
      <xdr:rowOff>0</xdr:rowOff>
    </xdr:to>
    <xdr:sp macro="" textlink="">
      <xdr:nvSpPr>
        <xdr:cNvPr id="9810" name="Line 118"/>
        <xdr:cNvSpPr>
          <a:spLocks noChangeShapeType="1"/>
        </xdr:cNvSpPr>
      </xdr:nvSpPr>
      <xdr:spPr bwMode="auto">
        <a:xfrm>
          <a:off x="2308860" y="84406740"/>
          <a:ext cx="9144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493</xdr:row>
      <xdr:rowOff>0</xdr:rowOff>
    </xdr:from>
    <xdr:to>
      <xdr:col>9</xdr:col>
      <xdr:colOff>784860</xdr:colOff>
      <xdr:row>493</xdr:row>
      <xdr:rowOff>0</xdr:rowOff>
    </xdr:to>
    <xdr:sp macro="" textlink="">
      <xdr:nvSpPr>
        <xdr:cNvPr id="9811" name="Line 120"/>
        <xdr:cNvSpPr>
          <a:spLocks noChangeShapeType="1"/>
        </xdr:cNvSpPr>
      </xdr:nvSpPr>
      <xdr:spPr bwMode="auto">
        <a:xfrm>
          <a:off x="60960" y="85062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492</xdr:row>
      <xdr:rowOff>0</xdr:rowOff>
    </xdr:from>
    <xdr:to>
      <xdr:col>9</xdr:col>
      <xdr:colOff>784860</xdr:colOff>
      <xdr:row>492</xdr:row>
      <xdr:rowOff>0</xdr:rowOff>
    </xdr:to>
    <xdr:sp macro="" textlink="">
      <xdr:nvSpPr>
        <xdr:cNvPr id="9812" name="Line 121"/>
        <xdr:cNvSpPr>
          <a:spLocks noChangeShapeType="1"/>
        </xdr:cNvSpPr>
      </xdr:nvSpPr>
      <xdr:spPr bwMode="auto">
        <a:xfrm>
          <a:off x="60960" y="848715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494</xdr:row>
      <xdr:rowOff>0</xdr:rowOff>
    </xdr:from>
    <xdr:to>
      <xdr:col>9</xdr:col>
      <xdr:colOff>784860</xdr:colOff>
      <xdr:row>494</xdr:row>
      <xdr:rowOff>0</xdr:rowOff>
    </xdr:to>
    <xdr:sp macro="" textlink="">
      <xdr:nvSpPr>
        <xdr:cNvPr id="9813" name="Line 123"/>
        <xdr:cNvSpPr>
          <a:spLocks noChangeShapeType="1"/>
        </xdr:cNvSpPr>
      </xdr:nvSpPr>
      <xdr:spPr bwMode="auto">
        <a:xfrm>
          <a:off x="60960" y="8526018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484</xdr:row>
      <xdr:rowOff>182880</xdr:rowOff>
    </xdr:from>
    <xdr:to>
      <xdr:col>4</xdr:col>
      <xdr:colOff>518160</xdr:colOff>
      <xdr:row>484</xdr:row>
      <xdr:rowOff>182880</xdr:rowOff>
    </xdr:to>
    <xdr:sp macro="" textlink="">
      <xdr:nvSpPr>
        <xdr:cNvPr id="9814" name="Line 124"/>
        <xdr:cNvSpPr>
          <a:spLocks noChangeShapeType="1"/>
        </xdr:cNvSpPr>
      </xdr:nvSpPr>
      <xdr:spPr bwMode="auto">
        <a:xfrm>
          <a:off x="2049780" y="8448294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484</xdr:row>
      <xdr:rowOff>182880</xdr:rowOff>
    </xdr:from>
    <xdr:to>
      <xdr:col>9</xdr:col>
      <xdr:colOff>784860</xdr:colOff>
      <xdr:row>484</xdr:row>
      <xdr:rowOff>182880</xdr:rowOff>
    </xdr:to>
    <xdr:sp macro="" textlink="">
      <xdr:nvSpPr>
        <xdr:cNvPr id="9815" name="Line 125"/>
        <xdr:cNvSpPr>
          <a:spLocks noChangeShapeType="1"/>
        </xdr:cNvSpPr>
      </xdr:nvSpPr>
      <xdr:spPr bwMode="auto">
        <a:xfrm>
          <a:off x="3268980" y="84482940"/>
          <a:ext cx="3543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470</xdr:row>
      <xdr:rowOff>0</xdr:rowOff>
    </xdr:from>
    <xdr:to>
      <xdr:col>4</xdr:col>
      <xdr:colOff>419100</xdr:colOff>
      <xdr:row>470</xdr:row>
      <xdr:rowOff>0</xdr:rowOff>
    </xdr:to>
    <xdr:sp macro="" textlink="">
      <xdr:nvSpPr>
        <xdr:cNvPr id="9816" name="Line 545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470</xdr:row>
      <xdr:rowOff>0</xdr:rowOff>
    </xdr:from>
    <xdr:to>
      <xdr:col>9</xdr:col>
      <xdr:colOff>777240</xdr:colOff>
      <xdr:row>470</xdr:row>
      <xdr:rowOff>0</xdr:rowOff>
    </xdr:to>
    <xdr:sp macro="" textlink="">
      <xdr:nvSpPr>
        <xdr:cNvPr id="9817" name="Line 125"/>
        <xdr:cNvSpPr>
          <a:spLocks noChangeShapeType="1"/>
        </xdr:cNvSpPr>
      </xdr:nvSpPr>
      <xdr:spPr bwMode="auto">
        <a:xfrm>
          <a:off x="3192780" y="84482940"/>
          <a:ext cx="3619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471</xdr:row>
      <xdr:rowOff>190500</xdr:rowOff>
    </xdr:from>
    <xdr:to>
      <xdr:col>4</xdr:col>
      <xdr:colOff>419100</xdr:colOff>
      <xdr:row>471</xdr:row>
      <xdr:rowOff>190500</xdr:rowOff>
    </xdr:to>
    <xdr:sp macro="" textlink="">
      <xdr:nvSpPr>
        <xdr:cNvPr id="9818" name="Line 547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471</xdr:row>
      <xdr:rowOff>190500</xdr:rowOff>
    </xdr:from>
    <xdr:to>
      <xdr:col>9</xdr:col>
      <xdr:colOff>777240</xdr:colOff>
      <xdr:row>471</xdr:row>
      <xdr:rowOff>190500</xdr:rowOff>
    </xdr:to>
    <xdr:sp macro="" textlink="">
      <xdr:nvSpPr>
        <xdr:cNvPr id="9819" name="Line 125"/>
        <xdr:cNvSpPr>
          <a:spLocks noChangeShapeType="1"/>
        </xdr:cNvSpPr>
      </xdr:nvSpPr>
      <xdr:spPr bwMode="auto">
        <a:xfrm>
          <a:off x="3192780" y="84482940"/>
          <a:ext cx="3619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473</xdr:row>
      <xdr:rowOff>190500</xdr:rowOff>
    </xdr:from>
    <xdr:to>
      <xdr:col>4</xdr:col>
      <xdr:colOff>419100</xdr:colOff>
      <xdr:row>473</xdr:row>
      <xdr:rowOff>190500</xdr:rowOff>
    </xdr:to>
    <xdr:sp macro="" textlink="">
      <xdr:nvSpPr>
        <xdr:cNvPr id="9820" name="Line 549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579120</xdr:colOff>
      <xdr:row>473</xdr:row>
      <xdr:rowOff>190500</xdr:rowOff>
    </xdr:from>
    <xdr:to>
      <xdr:col>9</xdr:col>
      <xdr:colOff>777240</xdr:colOff>
      <xdr:row>473</xdr:row>
      <xdr:rowOff>190500</xdr:rowOff>
    </xdr:to>
    <xdr:sp macro="" textlink="">
      <xdr:nvSpPr>
        <xdr:cNvPr id="9821" name="Line 125"/>
        <xdr:cNvSpPr>
          <a:spLocks noChangeShapeType="1"/>
        </xdr:cNvSpPr>
      </xdr:nvSpPr>
      <xdr:spPr bwMode="auto">
        <a:xfrm>
          <a:off x="3200400" y="84482940"/>
          <a:ext cx="36118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475</xdr:row>
      <xdr:rowOff>190500</xdr:rowOff>
    </xdr:from>
    <xdr:to>
      <xdr:col>4</xdr:col>
      <xdr:colOff>419100</xdr:colOff>
      <xdr:row>475</xdr:row>
      <xdr:rowOff>190500</xdr:rowOff>
    </xdr:to>
    <xdr:sp macro="" textlink="">
      <xdr:nvSpPr>
        <xdr:cNvPr id="9822" name="Line 551"/>
        <xdr:cNvSpPr>
          <a:spLocks noChangeShapeType="1"/>
        </xdr:cNvSpPr>
      </xdr:nvSpPr>
      <xdr:spPr bwMode="auto">
        <a:xfrm>
          <a:off x="1676400" y="844829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586740</xdr:colOff>
      <xdr:row>475</xdr:row>
      <xdr:rowOff>190500</xdr:rowOff>
    </xdr:from>
    <xdr:to>
      <xdr:col>9</xdr:col>
      <xdr:colOff>777240</xdr:colOff>
      <xdr:row>475</xdr:row>
      <xdr:rowOff>190500</xdr:rowOff>
    </xdr:to>
    <xdr:sp macro="" textlink="">
      <xdr:nvSpPr>
        <xdr:cNvPr id="9823" name="Line 125"/>
        <xdr:cNvSpPr>
          <a:spLocks noChangeShapeType="1"/>
        </xdr:cNvSpPr>
      </xdr:nvSpPr>
      <xdr:spPr bwMode="auto">
        <a:xfrm>
          <a:off x="3208020" y="84482940"/>
          <a:ext cx="3604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494</xdr:row>
      <xdr:rowOff>198120</xdr:rowOff>
    </xdr:from>
    <xdr:to>
      <xdr:col>9</xdr:col>
      <xdr:colOff>784860</xdr:colOff>
      <xdr:row>494</xdr:row>
      <xdr:rowOff>198120</xdr:rowOff>
    </xdr:to>
    <xdr:sp macro="" textlink="">
      <xdr:nvSpPr>
        <xdr:cNvPr id="9824" name="Line 123"/>
        <xdr:cNvSpPr>
          <a:spLocks noChangeShapeType="1"/>
        </xdr:cNvSpPr>
      </xdr:nvSpPr>
      <xdr:spPr bwMode="auto">
        <a:xfrm>
          <a:off x="60960" y="854583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482</xdr:row>
      <xdr:rowOff>167640</xdr:rowOff>
    </xdr:from>
    <xdr:to>
      <xdr:col>9</xdr:col>
      <xdr:colOff>800100</xdr:colOff>
      <xdr:row>482</xdr:row>
      <xdr:rowOff>167640</xdr:rowOff>
    </xdr:to>
    <xdr:sp macro="" textlink="">
      <xdr:nvSpPr>
        <xdr:cNvPr id="9825" name="Line 123"/>
        <xdr:cNvSpPr>
          <a:spLocks noChangeShapeType="1"/>
        </xdr:cNvSpPr>
      </xdr:nvSpPr>
      <xdr:spPr bwMode="auto">
        <a:xfrm>
          <a:off x="68580" y="84482940"/>
          <a:ext cx="6743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701040</xdr:colOff>
      <xdr:row>42</xdr:row>
      <xdr:rowOff>190500</xdr:rowOff>
    </xdr:to>
    <xdr:sp macro="" textlink="">
      <xdr:nvSpPr>
        <xdr:cNvPr id="9826" name="Line 54"/>
        <xdr:cNvSpPr>
          <a:spLocks noChangeShapeType="1"/>
        </xdr:cNvSpPr>
      </xdr:nvSpPr>
      <xdr:spPr bwMode="auto">
        <a:xfrm>
          <a:off x="1097280" y="1798320"/>
          <a:ext cx="57073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9827" name="Line 120"/>
        <xdr:cNvSpPr>
          <a:spLocks noChangeShapeType="1"/>
        </xdr:cNvSpPr>
      </xdr:nvSpPr>
      <xdr:spPr bwMode="auto">
        <a:xfrm flipV="1">
          <a:off x="1021080" y="752856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9828" name="Line 123"/>
        <xdr:cNvSpPr>
          <a:spLocks noChangeShapeType="1"/>
        </xdr:cNvSpPr>
      </xdr:nvSpPr>
      <xdr:spPr bwMode="auto">
        <a:xfrm flipV="1">
          <a:off x="1021080" y="76962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9829" name="Line 124"/>
        <xdr:cNvSpPr>
          <a:spLocks noChangeShapeType="1"/>
        </xdr:cNvSpPr>
      </xdr:nvSpPr>
      <xdr:spPr bwMode="auto">
        <a:xfrm>
          <a:off x="2049780" y="1004316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9830" name="Line 125"/>
        <xdr:cNvSpPr>
          <a:spLocks noChangeShapeType="1"/>
        </xdr:cNvSpPr>
      </xdr:nvSpPr>
      <xdr:spPr bwMode="auto">
        <a:xfrm>
          <a:off x="3268980" y="1004316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9831" name="Line 545"/>
        <xdr:cNvSpPr>
          <a:spLocks noChangeShapeType="1"/>
        </xdr:cNvSpPr>
      </xdr:nvSpPr>
      <xdr:spPr bwMode="auto">
        <a:xfrm>
          <a:off x="1676400" y="81305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701040</xdr:colOff>
      <xdr:row>85</xdr:row>
      <xdr:rowOff>0</xdr:rowOff>
    </xdr:to>
    <xdr:sp macro="" textlink="">
      <xdr:nvSpPr>
        <xdr:cNvPr id="9832" name="Line 125"/>
        <xdr:cNvSpPr>
          <a:spLocks noChangeShapeType="1"/>
        </xdr:cNvSpPr>
      </xdr:nvSpPr>
      <xdr:spPr bwMode="auto">
        <a:xfrm>
          <a:off x="3299460" y="813054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9833" name="Line 547"/>
        <xdr:cNvSpPr>
          <a:spLocks noChangeShapeType="1"/>
        </xdr:cNvSpPr>
      </xdr:nvSpPr>
      <xdr:spPr bwMode="auto">
        <a:xfrm>
          <a:off x="1676400" y="844296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701040</xdr:colOff>
      <xdr:row>86</xdr:row>
      <xdr:rowOff>190500</xdr:rowOff>
    </xdr:to>
    <xdr:sp macro="" textlink="">
      <xdr:nvSpPr>
        <xdr:cNvPr id="9834" name="Line 125"/>
        <xdr:cNvSpPr>
          <a:spLocks noChangeShapeType="1"/>
        </xdr:cNvSpPr>
      </xdr:nvSpPr>
      <xdr:spPr bwMode="auto">
        <a:xfrm>
          <a:off x="3299460" y="844296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9835" name="Line 549"/>
        <xdr:cNvSpPr>
          <a:spLocks noChangeShapeType="1"/>
        </xdr:cNvSpPr>
      </xdr:nvSpPr>
      <xdr:spPr bwMode="auto">
        <a:xfrm>
          <a:off x="1676400" y="876300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701040</xdr:colOff>
      <xdr:row>88</xdr:row>
      <xdr:rowOff>190500</xdr:rowOff>
    </xdr:to>
    <xdr:sp macro="" textlink="">
      <xdr:nvSpPr>
        <xdr:cNvPr id="9836" name="Line 125"/>
        <xdr:cNvSpPr>
          <a:spLocks noChangeShapeType="1"/>
        </xdr:cNvSpPr>
      </xdr:nvSpPr>
      <xdr:spPr bwMode="auto">
        <a:xfrm>
          <a:off x="3299460" y="876300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9837" name="Line 120"/>
        <xdr:cNvSpPr>
          <a:spLocks noChangeShapeType="1"/>
        </xdr:cNvSpPr>
      </xdr:nvSpPr>
      <xdr:spPr bwMode="auto">
        <a:xfrm>
          <a:off x="60960" y="3528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9838" name="Line 121"/>
        <xdr:cNvSpPr>
          <a:spLocks noChangeShapeType="1"/>
        </xdr:cNvSpPr>
      </xdr:nvSpPr>
      <xdr:spPr bwMode="auto">
        <a:xfrm>
          <a:off x="60960" y="33604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9839" name="Line 123"/>
        <xdr:cNvSpPr>
          <a:spLocks noChangeShapeType="1"/>
        </xdr:cNvSpPr>
      </xdr:nvSpPr>
      <xdr:spPr bwMode="auto">
        <a:xfrm>
          <a:off x="60960" y="36957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9840" name="Line 120"/>
        <xdr:cNvSpPr>
          <a:spLocks noChangeShapeType="1"/>
        </xdr:cNvSpPr>
      </xdr:nvSpPr>
      <xdr:spPr bwMode="auto">
        <a:xfrm>
          <a:off x="60960" y="386334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9841" name="Line 120"/>
        <xdr:cNvSpPr>
          <a:spLocks noChangeShapeType="1"/>
        </xdr:cNvSpPr>
      </xdr:nvSpPr>
      <xdr:spPr bwMode="auto">
        <a:xfrm>
          <a:off x="60960" y="47853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9842" name="Line 121"/>
        <xdr:cNvSpPr>
          <a:spLocks noChangeShapeType="1"/>
        </xdr:cNvSpPr>
      </xdr:nvSpPr>
      <xdr:spPr bwMode="auto">
        <a:xfrm>
          <a:off x="60960" y="46177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9843" name="Line 123"/>
        <xdr:cNvSpPr>
          <a:spLocks noChangeShapeType="1"/>
        </xdr:cNvSpPr>
      </xdr:nvSpPr>
      <xdr:spPr bwMode="auto">
        <a:xfrm>
          <a:off x="60960" y="49530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807720</xdr:colOff>
      <xdr:row>41</xdr:row>
      <xdr:rowOff>182880</xdr:rowOff>
    </xdr:to>
    <xdr:sp macro="" textlink="">
      <xdr:nvSpPr>
        <xdr:cNvPr id="8917" name="Line 54"/>
        <xdr:cNvSpPr>
          <a:spLocks noChangeShapeType="1"/>
        </xdr:cNvSpPr>
      </xdr:nvSpPr>
      <xdr:spPr bwMode="auto">
        <a:xfrm>
          <a:off x="1112520" y="1600200"/>
          <a:ext cx="5699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701040</xdr:colOff>
      <xdr:row>42</xdr:row>
      <xdr:rowOff>190500</xdr:rowOff>
    </xdr:to>
    <xdr:sp macro="" textlink="">
      <xdr:nvSpPr>
        <xdr:cNvPr id="8918" name="Line 54"/>
        <xdr:cNvSpPr>
          <a:spLocks noChangeShapeType="1"/>
        </xdr:cNvSpPr>
      </xdr:nvSpPr>
      <xdr:spPr bwMode="auto">
        <a:xfrm>
          <a:off x="1097280" y="1798320"/>
          <a:ext cx="57073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8919" name="Line 120"/>
        <xdr:cNvSpPr>
          <a:spLocks noChangeShapeType="1"/>
        </xdr:cNvSpPr>
      </xdr:nvSpPr>
      <xdr:spPr bwMode="auto">
        <a:xfrm flipV="1">
          <a:off x="1021080" y="752856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8920" name="Line 123"/>
        <xdr:cNvSpPr>
          <a:spLocks noChangeShapeType="1"/>
        </xdr:cNvSpPr>
      </xdr:nvSpPr>
      <xdr:spPr bwMode="auto">
        <a:xfrm flipV="1">
          <a:off x="1021080" y="76962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8921" name="Line 124"/>
        <xdr:cNvSpPr>
          <a:spLocks noChangeShapeType="1"/>
        </xdr:cNvSpPr>
      </xdr:nvSpPr>
      <xdr:spPr bwMode="auto">
        <a:xfrm>
          <a:off x="2049780" y="10043160"/>
          <a:ext cx="1089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8922" name="Line 125"/>
        <xdr:cNvSpPr>
          <a:spLocks noChangeShapeType="1"/>
        </xdr:cNvSpPr>
      </xdr:nvSpPr>
      <xdr:spPr bwMode="auto">
        <a:xfrm>
          <a:off x="3268980" y="1004316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8923" name="Line 545"/>
        <xdr:cNvSpPr>
          <a:spLocks noChangeShapeType="1"/>
        </xdr:cNvSpPr>
      </xdr:nvSpPr>
      <xdr:spPr bwMode="auto">
        <a:xfrm>
          <a:off x="1676400" y="813054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701040</xdr:colOff>
      <xdr:row>85</xdr:row>
      <xdr:rowOff>0</xdr:rowOff>
    </xdr:to>
    <xdr:sp macro="" textlink="">
      <xdr:nvSpPr>
        <xdr:cNvPr id="8924" name="Line 125"/>
        <xdr:cNvSpPr>
          <a:spLocks noChangeShapeType="1"/>
        </xdr:cNvSpPr>
      </xdr:nvSpPr>
      <xdr:spPr bwMode="auto">
        <a:xfrm>
          <a:off x="3299460" y="813054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8925" name="Line 547"/>
        <xdr:cNvSpPr>
          <a:spLocks noChangeShapeType="1"/>
        </xdr:cNvSpPr>
      </xdr:nvSpPr>
      <xdr:spPr bwMode="auto">
        <a:xfrm>
          <a:off x="1676400" y="844296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701040</xdr:colOff>
      <xdr:row>86</xdr:row>
      <xdr:rowOff>190500</xdr:rowOff>
    </xdr:to>
    <xdr:sp macro="" textlink="">
      <xdr:nvSpPr>
        <xdr:cNvPr id="8926" name="Line 125"/>
        <xdr:cNvSpPr>
          <a:spLocks noChangeShapeType="1"/>
        </xdr:cNvSpPr>
      </xdr:nvSpPr>
      <xdr:spPr bwMode="auto">
        <a:xfrm>
          <a:off x="3299460" y="844296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8927" name="Line 549"/>
        <xdr:cNvSpPr>
          <a:spLocks noChangeShapeType="1"/>
        </xdr:cNvSpPr>
      </xdr:nvSpPr>
      <xdr:spPr bwMode="auto">
        <a:xfrm>
          <a:off x="1676400" y="8763000"/>
          <a:ext cx="1363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701040</xdr:colOff>
      <xdr:row>88</xdr:row>
      <xdr:rowOff>190500</xdr:rowOff>
    </xdr:to>
    <xdr:sp macro="" textlink="">
      <xdr:nvSpPr>
        <xdr:cNvPr id="8928" name="Line 125"/>
        <xdr:cNvSpPr>
          <a:spLocks noChangeShapeType="1"/>
        </xdr:cNvSpPr>
      </xdr:nvSpPr>
      <xdr:spPr bwMode="auto">
        <a:xfrm>
          <a:off x="3299460" y="8763000"/>
          <a:ext cx="3505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8929" name="Line 120"/>
        <xdr:cNvSpPr>
          <a:spLocks noChangeShapeType="1"/>
        </xdr:cNvSpPr>
      </xdr:nvSpPr>
      <xdr:spPr bwMode="auto">
        <a:xfrm>
          <a:off x="60960" y="35280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8930" name="Line 121"/>
        <xdr:cNvSpPr>
          <a:spLocks noChangeShapeType="1"/>
        </xdr:cNvSpPr>
      </xdr:nvSpPr>
      <xdr:spPr bwMode="auto">
        <a:xfrm>
          <a:off x="60960" y="33604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931" name="Line 123"/>
        <xdr:cNvSpPr>
          <a:spLocks noChangeShapeType="1"/>
        </xdr:cNvSpPr>
      </xdr:nvSpPr>
      <xdr:spPr bwMode="auto">
        <a:xfrm>
          <a:off x="60960" y="36957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8932" name="Line 120"/>
        <xdr:cNvSpPr>
          <a:spLocks noChangeShapeType="1"/>
        </xdr:cNvSpPr>
      </xdr:nvSpPr>
      <xdr:spPr bwMode="auto">
        <a:xfrm>
          <a:off x="60960" y="386334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8933" name="Line 120"/>
        <xdr:cNvSpPr>
          <a:spLocks noChangeShapeType="1"/>
        </xdr:cNvSpPr>
      </xdr:nvSpPr>
      <xdr:spPr bwMode="auto">
        <a:xfrm>
          <a:off x="60960" y="478536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8934" name="Line 121"/>
        <xdr:cNvSpPr>
          <a:spLocks noChangeShapeType="1"/>
        </xdr:cNvSpPr>
      </xdr:nvSpPr>
      <xdr:spPr bwMode="auto">
        <a:xfrm>
          <a:off x="60960" y="461772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8935" name="Line 123"/>
        <xdr:cNvSpPr>
          <a:spLocks noChangeShapeType="1"/>
        </xdr:cNvSpPr>
      </xdr:nvSpPr>
      <xdr:spPr bwMode="auto">
        <a:xfrm>
          <a:off x="60960" y="4953000"/>
          <a:ext cx="67513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189"/>
  <sheetViews>
    <sheetView showGridLines="0" showRowColHeaders="0" showZeros="0" tabSelected="1" showOutlineSymbols="0" topLeftCell="A61" zoomScaleNormal="100" workbookViewId="0">
      <selection activeCell="F40" sqref="F40"/>
    </sheetView>
  </sheetViews>
  <sheetFormatPr defaultColWidth="9.109375" defaultRowHeight="13.2" x14ac:dyDescent="0.25"/>
  <cols>
    <col min="1" max="1" width="30.109375" style="3" customWidth="1"/>
    <col min="2" max="2" width="3.109375" style="3" bestFit="1" customWidth="1"/>
    <col min="3" max="3" width="7.5546875" style="3" customWidth="1"/>
    <col min="4" max="4" width="5.88671875" style="3" customWidth="1"/>
    <col min="5" max="5" width="18.5546875" style="3" customWidth="1"/>
    <col min="6" max="6" width="7.44140625" style="3" customWidth="1"/>
    <col min="7" max="7" width="4.44140625" style="3" bestFit="1" customWidth="1"/>
    <col min="8" max="8" width="10.44140625" style="3" customWidth="1"/>
    <col min="9" max="9" width="23.6640625" style="3" customWidth="1"/>
    <col min="10" max="10" width="17.5546875" style="3" customWidth="1"/>
    <col min="11" max="11" width="30.33203125" style="152" hidden="1" customWidth="1"/>
    <col min="12" max="12" width="14" style="151" hidden="1" customWidth="1"/>
    <col min="13" max="13" width="12.6640625" style="154" hidden="1" customWidth="1"/>
    <col min="14" max="14" width="11.6640625" style="3" hidden="1" customWidth="1"/>
    <col min="15" max="15" width="9.109375" style="3" hidden="1" customWidth="1"/>
    <col min="16" max="16" width="0.88671875" style="3" customWidth="1"/>
    <col min="17" max="16384" width="9.109375" style="3"/>
  </cols>
  <sheetData>
    <row r="1" spans="1:18" ht="15.75" customHeight="1" x14ac:dyDescent="0.25">
      <c r="A1" s="656" t="str">
        <f>A115</f>
        <v>Введите данные в ячейки, выделенные голубым и зеленым цветом</v>
      </c>
      <c r="B1" s="657"/>
      <c r="C1" s="657"/>
      <c r="D1" s="657"/>
      <c r="E1" s="657"/>
      <c r="F1" s="657"/>
      <c r="G1" s="657"/>
      <c r="H1" s="657"/>
      <c r="I1" s="657"/>
      <c r="J1" s="658"/>
      <c r="P1" s="621" t="s">
        <v>607</v>
      </c>
      <c r="Q1" s="620"/>
      <c r="R1" s="620"/>
    </row>
    <row r="2" spans="1:18" ht="13.5" customHeight="1" x14ac:dyDescent="0.25">
      <c r="A2" s="659"/>
      <c r="B2" s="660"/>
      <c r="C2" s="660"/>
      <c r="D2" s="660"/>
      <c r="E2" s="660"/>
      <c r="F2" s="660"/>
      <c r="G2" s="660"/>
      <c r="H2" s="660"/>
      <c r="I2" s="660"/>
      <c r="J2" s="661"/>
      <c r="P2" s="499"/>
      <c r="Q2" s="620"/>
      <c r="R2" s="620"/>
    </row>
    <row r="3" spans="1:18" ht="42" customHeight="1" thickBot="1" x14ac:dyDescent="0.3">
      <c r="A3" s="667" t="s">
        <v>397</v>
      </c>
      <c r="B3" s="668"/>
      <c r="C3" s="668"/>
      <c r="D3" s="668"/>
      <c r="E3" s="668"/>
      <c r="F3" s="668"/>
      <c r="G3" s="668"/>
      <c r="H3" s="668"/>
      <c r="I3" s="668"/>
      <c r="J3" s="669"/>
      <c r="P3" s="499"/>
    </row>
    <row r="4" spans="1:18" ht="16.5" customHeight="1" thickBot="1" x14ac:dyDescent="0.3">
      <c r="A4" s="475" t="s">
        <v>175</v>
      </c>
      <c r="B4" s="685">
        <v>4</v>
      </c>
      <c r="C4" s="686"/>
      <c r="D4" s="476"/>
      <c r="E4" s="477" t="str">
        <f t="shared" ref="E4:E15" si="0">VLOOKUP(A118,$A$118:$H$129,$B$4+1)</f>
        <v>Звёздный</v>
      </c>
      <c r="F4" s="478"/>
      <c r="G4" s="479"/>
      <c r="H4" s="679" t="s">
        <v>529</v>
      </c>
      <c r="I4" s="679"/>
      <c r="J4" s="680"/>
      <c r="P4" s="499"/>
    </row>
    <row r="5" spans="1:18" ht="11.1" customHeight="1" x14ac:dyDescent="0.25">
      <c r="A5" s="480"/>
      <c r="B5" s="476"/>
      <c r="C5" s="476"/>
      <c r="D5" s="476"/>
      <c r="E5" s="481" t="str">
        <f t="shared" si="0"/>
        <v>Ивантеевка</v>
      </c>
      <c r="F5" s="482"/>
      <c r="G5" s="483"/>
      <c r="H5" s="679"/>
      <c r="I5" s="679"/>
      <c r="J5" s="680"/>
      <c r="P5" s="499"/>
    </row>
    <row r="6" spans="1:18" ht="11.1" customHeight="1" x14ac:dyDescent="0.25">
      <c r="A6" s="480"/>
      <c r="B6" s="476"/>
      <c r="C6" s="476"/>
      <c r="D6" s="476"/>
      <c r="E6" s="481" t="str">
        <f t="shared" si="0"/>
        <v>Королёв</v>
      </c>
      <c r="F6" s="482"/>
      <c r="G6" s="483"/>
      <c r="H6" s="679"/>
      <c r="I6" s="679"/>
      <c r="J6" s="680"/>
      <c r="P6" s="499"/>
    </row>
    <row r="7" spans="1:18" ht="11.1" customHeight="1" x14ac:dyDescent="0.25">
      <c r="A7" s="480"/>
      <c r="B7" s="476"/>
      <c r="C7" s="476"/>
      <c r="D7" s="476"/>
      <c r="E7" s="481" t="str">
        <f t="shared" si="0"/>
        <v>Красноармейск</v>
      </c>
      <c r="F7" s="482"/>
      <c r="G7" s="483"/>
      <c r="H7" s="679"/>
      <c r="I7" s="679"/>
      <c r="J7" s="680"/>
      <c r="P7" s="499"/>
    </row>
    <row r="8" spans="1:18" ht="11.1" customHeight="1" x14ac:dyDescent="0.25">
      <c r="A8" s="480"/>
      <c r="B8" s="476"/>
      <c r="C8" s="476"/>
      <c r="D8" s="476"/>
      <c r="E8" s="481" t="str">
        <f t="shared" si="0"/>
        <v>Лосино-Петровский</v>
      </c>
      <c r="F8" s="482"/>
      <c r="G8" s="483"/>
      <c r="H8" s="670" t="str">
        <f>ЭЗ!A37</f>
        <v>государственных, муниципальных и частных образовательных организаций Московской области</v>
      </c>
      <c r="I8" s="670"/>
      <c r="J8" s="671"/>
      <c r="P8" s="499"/>
    </row>
    <row r="9" spans="1:18" ht="11.1" customHeight="1" x14ac:dyDescent="0.25">
      <c r="A9" s="480"/>
      <c r="B9" s="476"/>
      <c r="C9" s="476"/>
      <c r="D9" s="476"/>
      <c r="E9" s="481" t="str">
        <f t="shared" si="0"/>
        <v>Мытищи</v>
      </c>
      <c r="F9" s="482"/>
      <c r="G9" s="483"/>
      <c r="H9" s="670"/>
      <c r="I9" s="670"/>
      <c r="J9" s="671"/>
      <c r="P9" s="499"/>
    </row>
    <row r="10" spans="1:18" ht="11.1" customHeight="1" x14ac:dyDescent="0.25">
      <c r="A10" s="480"/>
      <c r="B10" s="476"/>
      <c r="C10" s="476"/>
      <c r="D10" s="476"/>
      <c r="E10" s="481" t="str">
        <f t="shared" si="0"/>
        <v>Пушкинский</v>
      </c>
      <c r="F10" s="482"/>
      <c r="G10" s="483"/>
      <c r="H10" s="670"/>
      <c r="I10" s="670"/>
      <c r="J10" s="671"/>
      <c r="P10" s="499"/>
    </row>
    <row r="11" spans="1:18" ht="11.1" customHeight="1" x14ac:dyDescent="0.25">
      <c r="A11" s="480"/>
      <c r="B11" s="476"/>
      <c r="C11" s="476"/>
      <c r="D11" s="476"/>
      <c r="E11" s="481" t="str">
        <f t="shared" si="0"/>
        <v>Сергиево-Посадский</v>
      </c>
      <c r="F11" s="482"/>
      <c r="G11" s="483"/>
      <c r="H11" s="670"/>
      <c r="I11" s="670"/>
      <c r="J11" s="671"/>
      <c r="P11" s="499"/>
    </row>
    <row r="12" spans="1:18" ht="11.1" customHeight="1" x14ac:dyDescent="0.25">
      <c r="A12" s="480"/>
      <c r="B12" s="476"/>
      <c r="C12" s="476"/>
      <c r="D12" s="476"/>
      <c r="E12" s="481" t="str">
        <f t="shared" si="0"/>
        <v>Фрязино</v>
      </c>
      <c r="F12" s="482"/>
      <c r="G12" s="672" t="str">
        <f>ЭЗ!A102</f>
        <v xml:space="preserve"> преподавателя  ДШИ и других школ по видам искусств</v>
      </c>
      <c r="H12" s="673"/>
      <c r="I12" s="673"/>
      <c r="J12" s="674"/>
      <c r="P12" s="499"/>
    </row>
    <row r="13" spans="1:18" ht="11.1" customHeight="1" x14ac:dyDescent="0.25">
      <c r="A13" s="480"/>
      <c r="B13" s="476"/>
      <c r="C13" s="476"/>
      <c r="D13" s="476"/>
      <c r="E13" s="481" t="str">
        <f t="shared" si="0"/>
        <v>Щёлковский</v>
      </c>
      <c r="F13" s="482"/>
      <c r="G13" s="672"/>
      <c r="H13" s="673"/>
      <c r="I13" s="673"/>
      <c r="J13" s="674"/>
      <c r="P13" s="499"/>
    </row>
    <row r="14" spans="1:18" ht="11.1" customHeight="1" x14ac:dyDescent="0.25">
      <c r="A14" s="480"/>
      <c r="B14" s="476"/>
      <c r="C14" s="476"/>
      <c r="D14" s="476"/>
      <c r="E14" s="481">
        <f t="shared" si="0"/>
        <v>0</v>
      </c>
      <c r="F14" s="482"/>
      <c r="G14" s="672"/>
      <c r="H14" s="673"/>
      <c r="I14" s="673"/>
      <c r="J14" s="674"/>
      <c r="P14" s="499"/>
    </row>
    <row r="15" spans="1:18" ht="11.1" customHeight="1" thickBot="1" x14ac:dyDescent="0.3">
      <c r="A15" s="480"/>
      <c r="B15" s="476"/>
      <c r="C15" s="476"/>
      <c r="D15" s="476"/>
      <c r="E15" s="484">
        <f t="shared" si="0"/>
        <v>0</v>
      </c>
      <c r="F15" s="485"/>
      <c r="G15" s="672"/>
      <c r="H15" s="673"/>
      <c r="I15" s="673"/>
      <c r="J15" s="674"/>
      <c r="P15" s="499"/>
    </row>
    <row r="16" spans="1:18" ht="2.25" customHeight="1" x14ac:dyDescent="0.25">
      <c r="A16" s="480"/>
      <c r="B16" s="483"/>
      <c r="C16" s="483"/>
      <c r="D16" s="483"/>
      <c r="E16" s="483"/>
      <c r="F16" s="483"/>
      <c r="G16" s="483"/>
      <c r="H16" s="483"/>
      <c r="I16" s="483"/>
      <c r="J16" s="486"/>
      <c r="P16" s="499"/>
    </row>
    <row r="17" spans="1:16" ht="13.8" x14ac:dyDescent="0.25">
      <c r="A17" s="675" t="s">
        <v>118</v>
      </c>
      <c r="B17" s="676"/>
      <c r="C17" s="676"/>
      <c r="D17" s="676"/>
      <c r="E17" s="676"/>
      <c r="F17" s="676"/>
      <c r="G17" s="676"/>
      <c r="H17" s="676"/>
      <c r="I17" s="676"/>
      <c r="J17" s="327"/>
      <c r="P17" s="499"/>
    </row>
    <row r="18" spans="1:16" ht="9.75" customHeight="1" x14ac:dyDescent="0.25">
      <c r="A18" s="280"/>
      <c r="B18" s="20"/>
      <c r="C18" s="20"/>
      <c r="D18" s="20"/>
      <c r="E18" s="20"/>
      <c r="F18" s="20"/>
      <c r="G18" s="20"/>
      <c r="H18" s="20"/>
      <c r="I18" s="20"/>
      <c r="J18" s="265"/>
      <c r="K18" s="152" t="s">
        <v>223</v>
      </c>
      <c r="L18" s="151" t="s">
        <v>224</v>
      </c>
      <c r="M18" s="154" t="s">
        <v>225</v>
      </c>
      <c r="P18" s="499"/>
    </row>
    <row r="19" spans="1:16" ht="9.75" hidden="1" customHeight="1" x14ac:dyDescent="0.25">
      <c r="A19" s="280"/>
      <c r="B19" s="20"/>
      <c r="C19" s="20"/>
      <c r="D19" s="20"/>
      <c r="E19" s="20"/>
      <c r="F19" s="20"/>
      <c r="G19" s="20"/>
      <c r="H19" s="20"/>
      <c r="I19" s="20"/>
      <c r="J19" s="265"/>
      <c r="P19" s="499"/>
    </row>
    <row r="20" spans="1:16" ht="9.75" hidden="1" customHeight="1" x14ac:dyDescent="0.25">
      <c r="A20" s="280"/>
      <c r="B20" s="20"/>
      <c r="C20" s="20"/>
      <c r="D20" s="20"/>
      <c r="E20" s="20"/>
      <c r="F20" s="20"/>
      <c r="G20" s="20"/>
      <c r="H20" s="20"/>
      <c r="I20" s="20"/>
      <c r="J20" s="265"/>
      <c r="P20" s="499"/>
    </row>
    <row r="21" spans="1:16" ht="9.75" hidden="1" customHeight="1" x14ac:dyDescent="0.25">
      <c r="A21" s="280"/>
      <c r="B21" s="20"/>
      <c r="C21" s="20"/>
      <c r="D21" s="20"/>
      <c r="E21" s="20"/>
      <c r="F21" s="20"/>
      <c r="G21" s="20"/>
      <c r="H21" s="20"/>
      <c r="I21" s="20"/>
      <c r="J21" s="265"/>
      <c r="P21" s="499"/>
    </row>
    <row r="22" spans="1:16" ht="9.75" hidden="1" customHeight="1" x14ac:dyDescent="0.25">
      <c r="A22" s="280"/>
      <c r="B22" s="20"/>
      <c r="C22" s="20"/>
      <c r="D22" s="20"/>
      <c r="E22" s="20"/>
      <c r="F22" s="20"/>
      <c r="G22" s="20"/>
      <c r="H22" s="20"/>
      <c r="I22" s="20"/>
      <c r="J22" s="265"/>
      <c r="P22" s="499"/>
    </row>
    <row r="23" spans="1:16" ht="9.75" hidden="1" customHeight="1" x14ac:dyDescent="0.25">
      <c r="A23" s="280"/>
      <c r="B23" s="20"/>
      <c r="C23" s="20"/>
      <c r="D23" s="20"/>
      <c r="E23" s="20"/>
      <c r="F23" s="20"/>
      <c r="G23" s="20"/>
      <c r="H23" s="20"/>
      <c r="I23" s="20"/>
      <c r="J23" s="265"/>
      <c r="P23" s="499"/>
    </row>
    <row r="24" spans="1:16" ht="9.75" hidden="1" customHeight="1" x14ac:dyDescent="0.25">
      <c r="A24" s="280"/>
      <c r="B24" s="20"/>
      <c r="C24" s="20"/>
      <c r="D24" s="20"/>
      <c r="E24" s="20"/>
      <c r="F24" s="20"/>
      <c r="G24" s="20"/>
      <c r="H24" s="20"/>
      <c r="I24" s="20"/>
      <c r="J24" s="265"/>
      <c r="P24" s="499"/>
    </row>
    <row r="25" spans="1:16" ht="13.8" x14ac:dyDescent="0.25">
      <c r="A25" s="662" t="s">
        <v>119</v>
      </c>
      <c r="B25" s="663"/>
      <c r="C25" s="664"/>
      <c r="D25" s="664"/>
      <c r="E25" s="664"/>
      <c r="F25" s="664"/>
      <c r="G25" s="664"/>
      <c r="H25" s="664"/>
      <c r="I25" s="664"/>
      <c r="J25" s="307"/>
      <c r="K25" s="153" t="str">
        <f>IF(LEN(L25)&gt;40,M25,L25)</f>
        <v/>
      </c>
      <c r="L25" s="151" t="str">
        <f>PROPER(TRIM(C25))</f>
        <v/>
      </c>
      <c r="M25" s="154" t="str">
        <f>IF(L25="","",LEFT(L25,(FIND(" ",L25)+1))&amp;"."&amp;MID(L25,FIND(" ",L25,FIND(" ",L25)+1)+1,1)&amp;".")</f>
        <v/>
      </c>
      <c r="P25" s="499"/>
    </row>
    <row r="26" spans="1:16" ht="4.5" customHeight="1" x14ac:dyDescent="0.25">
      <c r="A26" s="254"/>
      <c r="B26" s="114"/>
      <c r="C26" s="177"/>
      <c r="D26" s="177"/>
      <c r="E26" s="177"/>
      <c r="F26" s="177"/>
      <c r="G26" s="177"/>
      <c r="H26" s="177"/>
      <c r="I26" s="177"/>
      <c r="J26" s="308"/>
      <c r="K26" s="178"/>
      <c r="P26" s="499"/>
    </row>
    <row r="27" spans="1:16" ht="13.8" x14ac:dyDescent="0.25">
      <c r="A27" s="662" t="s">
        <v>120</v>
      </c>
      <c r="B27" s="663"/>
      <c r="C27" s="663"/>
      <c r="D27" s="682" t="s">
        <v>608</v>
      </c>
      <c r="E27" s="682"/>
      <c r="F27" s="682"/>
      <c r="G27" s="677"/>
      <c r="H27" s="677"/>
      <c r="I27" s="677"/>
      <c r="J27" s="307"/>
      <c r="K27" s="153"/>
      <c r="P27" s="499"/>
    </row>
    <row r="28" spans="1:16" ht="5.25" customHeight="1" x14ac:dyDescent="0.25">
      <c r="A28" s="254"/>
      <c r="B28" s="114"/>
      <c r="C28" s="177"/>
      <c r="D28" s="177"/>
      <c r="E28" s="177"/>
      <c r="F28" s="177"/>
      <c r="G28" s="177"/>
      <c r="H28" s="177"/>
      <c r="I28" s="177"/>
      <c r="J28" s="308"/>
      <c r="K28" s="178"/>
      <c r="P28" s="499"/>
    </row>
    <row r="29" spans="1:16" ht="13.8" x14ac:dyDescent="0.25">
      <c r="A29" s="662" t="s">
        <v>161</v>
      </c>
      <c r="B29" s="663"/>
      <c r="C29" s="665"/>
      <c r="D29" s="665"/>
      <c r="E29" s="665"/>
      <c r="F29" s="665"/>
      <c r="G29" s="665"/>
      <c r="H29" s="665"/>
      <c r="I29" s="665"/>
      <c r="J29" s="309"/>
      <c r="P29" s="499"/>
    </row>
    <row r="30" spans="1:16" ht="29.25" customHeight="1" x14ac:dyDescent="0.25">
      <c r="A30" s="683"/>
      <c r="B30" s="684"/>
      <c r="C30" s="666"/>
      <c r="D30" s="666"/>
      <c r="E30" s="666"/>
      <c r="F30" s="666"/>
      <c r="G30" s="666"/>
      <c r="H30" s="666"/>
      <c r="I30" s="666"/>
      <c r="J30" s="309"/>
      <c r="P30" s="499"/>
    </row>
    <row r="31" spans="1:16" ht="4.5" customHeight="1" x14ac:dyDescent="0.25">
      <c r="A31" s="310"/>
      <c r="B31" s="149"/>
      <c r="C31" s="179"/>
      <c r="D31" s="179"/>
      <c r="E31" s="179"/>
      <c r="F31" s="179"/>
      <c r="G31" s="179"/>
      <c r="H31" s="179"/>
      <c r="I31" s="179"/>
      <c r="J31" s="311"/>
      <c r="P31" s="499"/>
    </row>
    <row r="32" spans="1:16" ht="13.8" x14ac:dyDescent="0.25">
      <c r="A32" s="662" t="s">
        <v>162</v>
      </c>
      <c r="B32" s="681"/>
      <c r="C32" s="687" t="s">
        <v>198</v>
      </c>
      <c r="D32" s="687"/>
      <c r="E32" s="687"/>
      <c r="F32" s="687"/>
      <c r="G32" s="687"/>
      <c r="H32" s="687"/>
      <c r="I32" s="115"/>
      <c r="J32" s="312"/>
      <c r="K32" s="3" t="str">
        <f>LOWER(TRIM(C32))</f>
        <v>преподаватель</v>
      </c>
      <c r="L32" s="164">
        <f>LEN(K33)</f>
        <v>0</v>
      </c>
      <c r="P32" s="499"/>
    </row>
    <row r="33" spans="1:57" ht="13.8" x14ac:dyDescent="0.25">
      <c r="A33" s="254" t="str">
        <f>K34</f>
        <v>Специализация</v>
      </c>
      <c r="B33" s="173"/>
      <c r="C33" s="678"/>
      <c r="D33" s="678"/>
      <c r="E33" s="678"/>
      <c r="F33" s="678"/>
      <c r="G33" s="678"/>
      <c r="H33" s="678"/>
      <c r="I33" s="678"/>
      <c r="J33" s="312"/>
      <c r="K33" s="165" t="str">
        <f>LOWER(TRIM(C33))</f>
        <v/>
      </c>
      <c r="L33" s="164">
        <f>IF(C32="",0,1)</f>
        <v>1</v>
      </c>
      <c r="P33" s="499"/>
    </row>
    <row r="34" spans="1:57" ht="3.75" customHeight="1" x14ac:dyDescent="0.25">
      <c r="A34" s="280"/>
      <c r="B34" s="22"/>
      <c r="C34" s="688"/>
      <c r="D34" s="688"/>
      <c r="E34" s="688"/>
      <c r="F34" s="688"/>
      <c r="G34" s="688"/>
      <c r="H34" s="688"/>
      <c r="I34" s="688"/>
      <c r="J34" s="313"/>
      <c r="K34" s="3" t="str">
        <f>IF(C32="","-",IF(VLOOKUP(C32,A136:C170,3)="v","Специализация","-"))</f>
        <v>Специализация</v>
      </c>
      <c r="P34" s="499"/>
    </row>
    <row r="35" spans="1:57" ht="4.5" hidden="1" customHeight="1" x14ac:dyDescent="0.25">
      <c r="A35" s="254"/>
      <c r="B35" s="114"/>
      <c r="C35" s="20"/>
      <c r="D35" s="20"/>
      <c r="E35" s="20"/>
      <c r="F35" s="20"/>
      <c r="G35" s="20"/>
      <c r="H35" s="20"/>
      <c r="I35" s="20"/>
      <c r="J35" s="314"/>
      <c r="K35" s="165"/>
      <c r="P35" s="499"/>
    </row>
    <row r="36" spans="1:57" ht="13.8" hidden="1" x14ac:dyDescent="0.25">
      <c r="A36" s="315" t="str">
        <f>IF(OR(C32&lt;&gt;"",C33&lt;&gt;""),"В ЭЗ будет указана должность: ","")</f>
        <v xml:space="preserve">В ЭЗ будет указана должность: </v>
      </c>
      <c r="B36" s="174"/>
      <c r="C36" s="689" t="str">
        <f>K33</f>
        <v/>
      </c>
      <c r="D36" s="689"/>
      <c r="E36" s="689"/>
      <c r="F36" s="689"/>
      <c r="G36" s="689"/>
      <c r="H36" s="689"/>
      <c r="I36" s="689"/>
      <c r="J36" s="316"/>
      <c r="K36" s="165"/>
      <c r="P36" s="499"/>
    </row>
    <row r="37" spans="1:57" ht="3" hidden="1" customHeight="1" x14ac:dyDescent="0.25">
      <c r="A37" s="317" t="str">
        <f>IF(D37="","","В ЭЗ будет указана квалификация:")</f>
        <v>В ЭЗ будет указана квалификация:</v>
      </c>
      <c r="B37" s="233"/>
      <c r="C37" s="234"/>
      <c r="D37" s="235" t="str">
        <f>IF(C32&lt;&gt;"",ЭЗ!L31,"")</f>
        <v>преподавателя</v>
      </c>
      <c r="E37" s="234"/>
      <c r="F37" s="234"/>
      <c r="G37" s="234"/>
      <c r="H37" s="234"/>
      <c r="I37" s="234"/>
      <c r="J37" s="318"/>
      <c r="K37" s="165"/>
      <c r="P37" s="499"/>
    </row>
    <row r="38" spans="1:57" ht="13.8" hidden="1" x14ac:dyDescent="0.25">
      <c r="A38" s="254"/>
      <c r="B38" s="114"/>
      <c r="C38" s="172"/>
      <c r="D38" s="172"/>
      <c r="E38" s="172"/>
      <c r="F38" s="172"/>
      <c r="G38" s="172"/>
      <c r="H38" s="166"/>
      <c r="I38" s="166"/>
      <c r="J38" s="319"/>
      <c r="K38" s="165"/>
      <c r="P38" s="499"/>
    </row>
    <row r="39" spans="1:57" hidden="1" x14ac:dyDescent="0.25">
      <c r="A39" s="280"/>
      <c r="B39" s="20"/>
      <c r="C39" s="20"/>
      <c r="D39" s="20"/>
      <c r="E39" s="20"/>
      <c r="F39" s="20"/>
      <c r="G39" s="20"/>
      <c r="H39" s="20"/>
      <c r="I39" s="20"/>
      <c r="J39" s="314"/>
      <c r="P39" s="499"/>
    </row>
    <row r="40" spans="1:57" ht="13.8" x14ac:dyDescent="0.25">
      <c r="A40" s="662" t="s">
        <v>172</v>
      </c>
      <c r="B40" s="663"/>
      <c r="C40" s="663"/>
      <c r="D40" s="167"/>
      <c r="E40" s="168" t="s">
        <v>405</v>
      </c>
      <c r="F40" s="115"/>
      <c r="G40" s="115"/>
      <c r="H40" s="115"/>
      <c r="I40" s="115"/>
      <c r="J40" s="312"/>
      <c r="P40" s="499"/>
    </row>
    <row r="41" spans="1:57" ht="13.8" x14ac:dyDescent="0.25">
      <c r="A41" s="690" t="s">
        <v>173</v>
      </c>
      <c r="B41" s="691"/>
      <c r="C41" s="691"/>
      <c r="D41" s="692"/>
      <c r="E41" s="692"/>
      <c r="F41" s="693" t="s">
        <v>174</v>
      </c>
      <c r="G41" s="693"/>
      <c r="H41" s="693"/>
      <c r="I41" s="493"/>
      <c r="J41" s="494"/>
      <c r="K41" s="495"/>
      <c r="L41" s="496" t="s">
        <v>530</v>
      </c>
      <c r="M41" s="497">
        <f ca="1">TODAY()-5*365-90</f>
        <v>41517</v>
      </c>
      <c r="N41" s="497">
        <f ca="1">TODAY()</f>
        <v>43432</v>
      </c>
      <c r="O41" s="498">
        <f ca="1">N41-5*365-40</f>
        <v>41567</v>
      </c>
      <c r="P41" s="499"/>
    </row>
    <row r="42" spans="1:57" ht="4.5" customHeight="1" x14ac:dyDescent="0.25">
      <c r="A42" s="491"/>
      <c r="B42" s="492"/>
      <c r="C42" s="492"/>
      <c r="D42" s="500"/>
      <c r="E42" s="501"/>
      <c r="F42" s="501"/>
      <c r="G42" s="501"/>
      <c r="H42" s="501"/>
      <c r="I42" s="501"/>
      <c r="J42" s="494"/>
      <c r="K42" s="495"/>
      <c r="L42" s="502"/>
      <c r="M42" s="503" t="s">
        <v>531</v>
      </c>
      <c r="N42" s="503" t="s">
        <v>532</v>
      </c>
      <c r="P42" s="499"/>
    </row>
    <row r="43" spans="1:57" ht="13.8" x14ac:dyDescent="0.25">
      <c r="A43" s="491" t="s">
        <v>121</v>
      </c>
      <c r="B43" s="492"/>
      <c r="C43" s="492"/>
      <c r="D43" s="647"/>
      <c r="E43" s="647"/>
      <c r="F43" s="504" t="str">
        <f>IF(G43="","","примеч.")</f>
        <v/>
      </c>
      <c r="G43" s="650"/>
      <c r="H43" s="650"/>
      <c r="I43" s="505"/>
      <c r="J43" s="494" t="str">
        <f>IF(G43="","","г. )")</f>
        <v/>
      </c>
      <c r="K43" s="506" t="str">
        <f>IF(I43&lt;&gt;"",G43,"")</f>
        <v/>
      </c>
      <c r="L43" s="507" t="str">
        <f>IF(I43&lt;&gt;"",I43,"")</f>
        <v/>
      </c>
      <c r="M43" s="508" t="str">
        <f>IF(I43&lt;&gt;"",J43,"")</f>
        <v/>
      </c>
      <c r="N43" s="154"/>
      <c r="P43" s="499"/>
    </row>
    <row r="44" spans="1:57" ht="5.25" customHeight="1" x14ac:dyDescent="0.25">
      <c r="A44" s="254"/>
      <c r="B44" s="114"/>
      <c r="C44" s="114"/>
      <c r="D44" s="114"/>
      <c r="E44" s="114"/>
      <c r="F44" s="114"/>
      <c r="G44" s="114"/>
      <c r="H44" s="57"/>
      <c r="I44" s="57"/>
      <c r="J44" s="265"/>
      <c r="K44" s="175"/>
      <c r="L44" s="175"/>
      <c r="M44" s="151"/>
      <c r="N44" s="154"/>
      <c r="P44" s="499"/>
    </row>
    <row r="45" spans="1:57" ht="13.8" x14ac:dyDescent="0.25">
      <c r="A45" s="509" t="s">
        <v>533</v>
      </c>
      <c r="B45" s="651" t="s">
        <v>534</v>
      </c>
      <c r="C45" s="651"/>
      <c r="D45" s="651"/>
      <c r="E45" s="651"/>
      <c r="F45" s="114"/>
      <c r="G45" s="114"/>
      <c r="H45" s="57"/>
      <c r="I45" s="57"/>
      <c r="J45" s="265"/>
      <c r="K45" s="510" t="s">
        <v>527</v>
      </c>
      <c r="L45" s="510" t="s">
        <v>534</v>
      </c>
      <c r="M45" s="510" t="s">
        <v>535</v>
      </c>
      <c r="N45" s="510" t="s">
        <v>536</v>
      </c>
      <c r="O45" s="510" t="s">
        <v>537</v>
      </c>
      <c r="P45" s="499"/>
      <c r="Q45" s="511"/>
      <c r="R45" s="511"/>
      <c r="S45" s="20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 x14ac:dyDescent="0.25">
      <c r="A46" s="280"/>
      <c r="B46" s="114"/>
      <c r="C46" s="114"/>
      <c r="D46" s="114"/>
      <c r="E46" s="114"/>
      <c r="F46" s="114"/>
      <c r="G46" s="114"/>
      <c r="H46" s="57"/>
      <c r="I46" s="57"/>
      <c r="J46" s="265"/>
      <c r="K46" s="511"/>
      <c r="L46" s="511"/>
      <c r="M46" s="511"/>
      <c r="N46" s="511"/>
      <c r="O46" s="511"/>
      <c r="P46" s="499"/>
      <c r="Q46" s="511"/>
      <c r="R46" s="511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 x14ac:dyDescent="0.25">
      <c r="A47" s="280"/>
      <c r="B47" s="114"/>
      <c r="C47" s="114"/>
      <c r="D47" s="114"/>
      <c r="E47" s="114"/>
      <c r="F47" s="114"/>
      <c r="G47" s="512"/>
      <c r="H47" s="512"/>
      <c r="I47" s="512"/>
      <c r="J47" s="265"/>
      <c r="K47" s="511"/>
      <c r="L47" s="511"/>
      <c r="M47" s="511"/>
      <c r="N47" s="511"/>
      <c r="O47" s="511"/>
      <c r="P47" s="499"/>
      <c r="Q47" s="511"/>
      <c r="R47" s="511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 x14ac:dyDescent="0.25">
      <c r="A48" s="652" t="str">
        <f>B45</f>
        <v>высшее</v>
      </c>
      <c r="B48" s="641"/>
      <c r="C48" s="641"/>
      <c r="D48" s="641"/>
      <c r="E48" s="641"/>
      <c r="F48" s="641"/>
      <c r="G48" s="641"/>
      <c r="H48" s="641"/>
      <c r="I48" s="641"/>
      <c r="J48" s="642"/>
      <c r="K48" s="164">
        <f>LEN(B48)</f>
        <v>0</v>
      </c>
      <c r="L48" s="513" t="str">
        <f>TRIM(вуз_1&amp;IF(год_вуз_1="","",", "&amp;год_вуз_1&amp;"г."))</f>
        <v/>
      </c>
      <c r="M48" s="511"/>
      <c r="N48" s="511"/>
      <c r="O48" s="511"/>
      <c r="P48" s="499"/>
      <c r="Q48" s="511"/>
      <c r="R48" s="51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 x14ac:dyDescent="0.25">
      <c r="A49" s="653"/>
      <c r="B49" s="641"/>
      <c r="C49" s="641"/>
      <c r="D49" s="641"/>
      <c r="E49" s="641"/>
      <c r="F49" s="641"/>
      <c r="G49" s="641"/>
      <c r="H49" s="641"/>
      <c r="I49" s="641"/>
      <c r="J49" s="642"/>
      <c r="K49" s="3"/>
      <c r="L49" s="511"/>
      <c r="M49" s="511"/>
      <c r="N49" s="511"/>
      <c r="O49" s="511"/>
      <c r="P49" s="499"/>
      <c r="Q49" s="511"/>
      <c r="R49" s="511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3.8" x14ac:dyDescent="0.25">
      <c r="A50" s="280"/>
      <c r="B50" s="643" t="s">
        <v>538</v>
      </c>
      <c r="C50" s="643"/>
      <c r="D50" s="643"/>
      <c r="E50" s="514"/>
      <c r="F50" s="20"/>
      <c r="G50" s="20"/>
      <c r="H50" s="20"/>
      <c r="I50" s="20"/>
      <c r="J50" s="265"/>
      <c r="K50" s="515">
        <f>IF(B50="год окончания",год+2000,6)</f>
        <v>2018</v>
      </c>
      <c r="L50" s="511"/>
      <c r="M50" s="511"/>
      <c r="N50" s="511"/>
      <c r="O50" s="511"/>
      <c r="P50" s="499"/>
      <c r="Q50" s="511"/>
      <c r="R50" s="51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 x14ac:dyDescent="0.25">
      <c r="A51" s="280"/>
      <c r="B51" s="20"/>
      <c r="C51" s="20"/>
      <c r="D51" s="20"/>
      <c r="E51" s="20"/>
      <c r="F51" s="20"/>
      <c r="G51" s="20"/>
      <c r="H51" s="20"/>
      <c r="I51" s="20"/>
      <c r="J51" s="265"/>
      <c r="K51" s="3"/>
      <c r="L51" s="511"/>
      <c r="M51" s="511"/>
      <c r="N51" s="511"/>
      <c r="O51" s="511"/>
      <c r="P51" s="499"/>
      <c r="Q51" s="511"/>
      <c r="R51" s="511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 x14ac:dyDescent="0.25">
      <c r="A52" s="654"/>
      <c r="B52" s="641"/>
      <c r="C52" s="641"/>
      <c r="D52" s="641"/>
      <c r="E52" s="641"/>
      <c r="F52" s="641"/>
      <c r="G52" s="641"/>
      <c r="H52" s="641"/>
      <c r="I52" s="641"/>
      <c r="J52" s="642"/>
      <c r="K52" s="164">
        <f>LEN(B52)</f>
        <v>0</v>
      </c>
      <c r="L52" s="513" t="str">
        <f>TRIM(вуз_2&amp;IF(год_вуз_2="","",", "&amp;год_вуз_2&amp;"г."))</f>
        <v/>
      </c>
      <c r="M52" s="151"/>
      <c r="N52" s="516"/>
      <c r="O52" s="516"/>
      <c r="P52" s="499"/>
      <c r="Q52" s="445"/>
      <c r="R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</row>
    <row r="53" spans="1:57" ht="18" customHeight="1" x14ac:dyDescent="0.25">
      <c r="A53" s="655"/>
      <c r="B53" s="641"/>
      <c r="C53" s="641"/>
      <c r="D53" s="641"/>
      <c r="E53" s="641"/>
      <c r="F53" s="641"/>
      <c r="G53" s="641"/>
      <c r="H53" s="641"/>
      <c r="I53" s="641"/>
      <c r="J53" s="642"/>
      <c r="K53" s="445"/>
      <c r="L53" s="445"/>
      <c r="M53" s="445"/>
      <c r="N53" s="445"/>
      <c r="O53" s="445"/>
      <c r="P53" s="499"/>
      <c r="Q53" s="445"/>
      <c r="R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</row>
    <row r="54" spans="1:57" ht="13.8" x14ac:dyDescent="0.25">
      <c r="A54" s="280"/>
      <c r="B54" s="643" t="s">
        <v>538</v>
      </c>
      <c r="C54" s="643"/>
      <c r="D54" s="643"/>
      <c r="E54" s="514"/>
      <c r="F54" s="20"/>
      <c r="G54" s="20"/>
      <c r="H54" s="20"/>
      <c r="I54" s="20"/>
      <c r="J54" s="265"/>
      <c r="K54" s="515">
        <f>IF(B54="год окончания",год+2000,6)</f>
        <v>2018</v>
      </c>
      <c r="L54" s="511"/>
      <c r="M54" s="511"/>
      <c r="N54" s="511"/>
      <c r="O54" s="511"/>
      <c r="P54" s="499"/>
      <c r="Q54" s="511"/>
      <c r="R54" s="511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 x14ac:dyDescent="0.25">
      <c r="A55" s="280"/>
      <c r="B55" s="20"/>
      <c r="C55" s="20"/>
      <c r="D55" s="20"/>
      <c r="E55" s="20"/>
      <c r="F55" s="20"/>
      <c r="G55" s="20"/>
      <c r="H55" s="20"/>
      <c r="I55" s="20"/>
      <c r="J55" s="265"/>
      <c r="K55" s="3"/>
      <c r="L55" s="511"/>
      <c r="M55" s="511"/>
      <c r="N55" s="511"/>
      <c r="O55" s="511"/>
      <c r="P55" s="499"/>
      <c r="Q55" s="511"/>
      <c r="R55" s="511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 x14ac:dyDescent="0.25">
      <c r="A56" s="654"/>
      <c r="B56" s="641"/>
      <c r="C56" s="641"/>
      <c r="D56" s="641"/>
      <c r="E56" s="641"/>
      <c r="F56" s="641"/>
      <c r="G56" s="641"/>
      <c r="H56" s="641"/>
      <c r="I56" s="641"/>
      <c r="J56" s="642"/>
      <c r="K56" s="164">
        <f>LEN(B56)</f>
        <v>0</v>
      </c>
      <c r="L56" s="513" t="str">
        <f>TRIM(вуз_3&amp;IF(год_вуз_3="","",", "&amp;год_вуз_3&amp;"г."))</f>
        <v/>
      </c>
      <c r="M56" s="511"/>
      <c r="N56" s="511"/>
      <c r="O56" s="511"/>
      <c r="P56" s="499"/>
      <c r="Q56" s="511"/>
      <c r="R56" s="511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 x14ac:dyDescent="0.25">
      <c r="A57" s="655"/>
      <c r="B57" s="641"/>
      <c r="C57" s="641"/>
      <c r="D57" s="641"/>
      <c r="E57" s="641"/>
      <c r="F57" s="641"/>
      <c r="G57" s="641"/>
      <c r="H57" s="641"/>
      <c r="I57" s="641"/>
      <c r="J57" s="642"/>
      <c r="K57" s="3"/>
      <c r="L57" s="511"/>
      <c r="M57" s="511"/>
      <c r="N57" s="511"/>
      <c r="O57" s="511"/>
      <c r="P57" s="499"/>
      <c r="Q57" s="511"/>
      <c r="R57" s="511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3.8" x14ac:dyDescent="0.25">
      <c r="A58" s="280"/>
      <c r="B58" s="643" t="s">
        <v>538</v>
      </c>
      <c r="C58" s="643"/>
      <c r="D58" s="643"/>
      <c r="E58" s="514"/>
      <c r="F58" s="20"/>
      <c r="G58" s="20"/>
      <c r="H58" s="20"/>
      <c r="I58" s="20"/>
      <c r="J58" s="265"/>
      <c r="K58" s="515">
        <f>IF(B58="год окончания",год+2000,6)</f>
        <v>2018</v>
      </c>
      <c r="L58" s="511"/>
      <c r="M58" s="511"/>
      <c r="N58" s="511"/>
      <c r="O58" s="511"/>
      <c r="P58" s="499"/>
      <c r="Q58" s="511"/>
      <c r="R58" s="511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 x14ac:dyDescent="0.25">
      <c r="A59" s="280"/>
      <c r="B59" s="20"/>
      <c r="C59" s="20"/>
      <c r="D59" s="20"/>
      <c r="E59" s="20"/>
      <c r="F59" s="20"/>
      <c r="G59" s="20"/>
      <c r="H59" s="20"/>
      <c r="I59" s="20"/>
      <c r="J59" s="265"/>
      <c r="K59" s="3"/>
      <c r="L59" s="511"/>
      <c r="M59" s="511"/>
      <c r="N59" s="511"/>
      <c r="O59" s="511"/>
      <c r="P59" s="499"/>
      <c r="Q59" s="511"/>
      <c r="R59" s="511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3" customHeight="1" x14ac:dyDescent="0.25">
      <c r="A60" s="280"/>
      <c r="B60" s="20"/>
      <c r="C60" s="20"/>
      <c r="D60" s="20"/>
      <c r="E60" s="20"/>
      <c r="F60" s="20"/>
      <c r="G60" s="20"/>
      <c r="H60" s="20"/>
      <c r="I60" s="20"/>
      <c r="J60" s="265"/>
      <c r="K60" s="271"/>
      <c r="L60" s="152"/>
      <c r="M60" s="151"/>
      <c r="N60" s="154"/>
      <c r="P60" s="499"/>
    </row>
    <row r="61" spans="1:57" ht="29.25" customHeight="1" x14ac:dyDescent="0.25">
      <c r="A61" s="648" t="s">
        <v>320</v>
      </c>
      <c r="B61" s="649"/>
      <c r="C61" s="649"/>
      <c r="D61" s="649"/>
      <c r="E61" s="649"/>
      <c r="F61" s="649"/>
      <c r="G61" s="649"/>
      <c r="H61" s="649"/>
      <c r="I61" s="649"/>
      <c r="J61" s="250"/>
      <c r="K61" s="180"/>
      <c r="L61" s="152"/>
      <c r="M61" s="151"/>
      <c r="N61" s="23"/>
      <c r="O61" s="23"/>
      <c r="P61" s="499"/>
      <c r="Q61" s="23"/>
      <c r="R61" s="23"/>
      <c r="S61" s="23"/>
    </row>
    <row r="62" spans="1:57" ht="2.4" customHeight="1" x14ac:dyDescent="0.25">
      <c r="A62" s="517"/>
      <c r="B62" s="180"/>
      <c r="C62" s="180"/>
      <c r="D62" s="180"/>
      <c r="E62" s="180"/>
      <c r="F62" s="180"/>
      <c r="G62" s="180"/>
      <c r="H62" s="180"/>
      <c r="I62" s="180"/>
      <c r="J62" s="278"/>
      <c r="K62" s="180"/>
      <c r="L62" s="180"/>
      <c r="M62" s="152"/>
      <c r="N62" s="151"/>
      <c r="O62" s="23"/>
      <c r="P62" s="499"/>
      <c r="Q62" s="23"/>
      <c r="R62" s="23"/>
    </row>
    <row r="63" spans="1:57" ht="16.5" customHeight="1" x14ac:dyDescent="0.25">
      <c r="A63" s="280" t="s">
        <v>572</v>
      </c>
      <c r="B63" s="20"/>
      <c r="C63" s="20"/>
      <c r="D63" s="25"/>
      <c r="E63" s="518"/>
      <c r="F63" s="519"/>
      <c r="G63" s="519"/>
      <c r="H63" s="519"/>
      <c r="I63" s="20"/>
      <c r="J63" s="265"/>
      <c r="K63" s="175"/>
      <c r="L63" s="3"/>
      <c r="M63" s="445"/>
      <c r="N63" s="445"/>
      <c r="O63" s="445"/>
      <c r="P63" s="499"/>
      <c r="Q63" s="445"/>
      <c r="R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</row>
    <row r="64" spans="1:57" ht="18.600000000000001" x14ac:dyDescent="0.25">
      <c r="A64" s="644" t="s">
        <v>281</v>
      </c>
      <c r="B64" s="645"/>
      <c r="C64" s="645"/>
      <c r="D64" s="520"/>
      <c r="E64" s="646" t="s">
        <v>538</v>
      </c>
      <c r="F64" s="646"/>
      <c r="G64" s="646"/>
      <c r="H64" s="521"/>
      <c r="I64" s="522" t="s">
        <v>539</v>
      </c>
      <c r="J64" s="523"/>
      <c r="K64" s="515">
        <f>IF(E64="год окончания",год+2000,6)</f>
        <v>2018</v>
      </c>
      <c r="L64" s="524">
        <f>IF(E64="год окончания",год+2000-6,1)</f>
        <v>2012</v>
      </c>
      <c r="M64" s="152" t="str">
        <f>IF(A64=N69,""," ("&amp;A64&amp;")")</f>
        <v/>
      </c>
      <c r="P64" s="499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</row>
    <row r="65" spans="1:57" ht="2.25" customHeight="1" x14ac:dyDescent="0.25">
      <c r="A65" s="525"/>
      <c r="B65" s="520"/>
      <c r="C65" s="520"/>
      <c r="D65" s="520"/>
      <c r="E65" s="520"/>
      <c r="F65" s="520"/>
      <c r="G65" s="520"/>
      <c r="H65" s="520"/>
      <c r="I65" s="520"/>
      <c r="J65" s="265"/>
      <c r="K65" s="3"/>
      <c r="L65" s="152"/>
      <c r="M65" s="151"/>
      <c r="P65" s="499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</row>
    <row r="66" spans="1:57" ht="16.5" customHeight="1" x14ac:dyDescent="0.25">
      <c r="A66" s="280"/>
      <c r="B66" s="641"/>
      <c r="C66" s="641"/>
      <c r="D66" s="641"/>
      <c r="E66" s="641"/>
      <c r="F66" s="641"/>
      <c r="G66" s="641"/>
      <c r="H66" s="641"/>
      <c r="I66" s="641"/>
      <c r="J66" s="642"/>
      <c r="K66" s="175"/>
      <c r="L66" s="513" t="str">
        <f>IF(A64=N69,"",IF(доп_по="","",TRIM(доп_по)&amp;IF(год_доп_по+J64&gt;0,M66,"")))</f>
        <v/>
      </c>
      <c r="M66" s="513" t="str">
        <f>", "&amp;год_доп_по&amp;IF(E64="год окончания","г."," курс")</f>
        <v>, г.</v>
      </c>
      <c r="N66" s="445"/>
      <c r="O66" s="445"/>
      <c r="P66" s="499"/>
      <c r="Q66" s="445"/>
      <c r="R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</row>
    <row r="67" spans="1:57" ht="16.5" customHeight="1" x14ac:dyDescent="0.25">
      <c r="A67" s="280"/>
      <c r="B67" s="641"/>
      <c r="C67" s="641"/>
      <c r="D67" s="641"/>
      <c r="E67" s="641"/>
      <c r="F67" s="641"/>
      <c r="G67" s="641"/>
      <c r="H67" s="641"/>
      <c r="I67" s="641"/>
      <c r="J67" s="642"/>
      <c r="K67" s="526" t="s">
        <v>540</v>
      </c>
      <c r="L67" s="527" t="s">
        <v>541</v>
      </c>
      <c r="M67" s="151"/>
      <c r="N67" s="528" t="s">
        <v>542</v>
      </c>
      <c r="O67" s="23"/>
      <c r="P67" s="499"/>
      <c r="R67" s="23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</row>
    <row r="68" spans="1:57" ht="12.75" customHeight="1" x14ac:dyDescent="0.25">
      <c r="A68" s="280"/>
      <c r="B68" s="641"/>
      <c r="C68" s="641"/>
      <c r="D68" s="641"/>
      <c r="E68" s="641"/>
      <c r="F68" s="641"/>
      <c r="G68" s="641"/>
      <c r="H68" s="641"/>
      <c r="I68" s="641"/>
      <c r="J68" s="642"/>
      <c r="K68" s="529"/>
      <c r="L68" s="503" t="s">
        <v>543</v>
      </c>
      <c r="M68" s="151"/>
      <c r="N68" s="530"/>
      <c r="O68" s="23"/>
      <c r="P68" s="499"/>
      <c r="R68" s="23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</row>
    <row r="69" spans="1:57" ht="6" customHeight="1" x14ac:dyDescent="0.25">
      <c r="A69" s="531"/>
      <c r="B69" s="20"/>
      <c r="C69" s="20"/>
      <c r="D69" s="20"/>
      <c r="E69" s="20"/>
      <c r="F69" s="20"/>
      <c r="G69" s="532"/>
      <c r="H69" s="532"/>
      <c r="I69" s="532"/>
      <c r="J69" s="533"/>
      <c r="K69" s="534"/>
      <c r="L69" s="503" t="s">
        <v>544</v>
      </c>
      <c r="M69" s="164"/>
      <c r="N69" s="527" t="s">
        <v>281</v>
      </c>
      <c r="O69" s="23"/>
      <c r="P69" s="499"/>
      <c r="R69" s="23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</row>
    <row r="70" spans="1:57" ht="13.8" hidden="1" x14ac:dyDescent="0.25">
      <c r="A70" s="535"/>
      <c r="B70" s="251"/>
      <c r="C70" s="251"/>
      <c r="D70" s="251"/>
      <c r="E70" s="251"/>
      <c r="F70" s="251"/>
      <c r="G70" s="252"/>
      <c r="H70" s="536" t="str">
        <f>IF(A64="нет","нет","да")</f>
        <v>нет</v>
      </c>
      <c r="I70" s="253"/>
      <c r="J70" s="537"/>
      <c r="K70" s="529"/>
      <c r="L70" s="503" t="s">
        <v>545</v>
      </c>
      <c r="M70" s="164"/>
      <c r="N70" s="527" t="s">
        <v>546</v>
      </c>
      <c r="O70" s="23"/>
      <c r="P70" s="499"/>
      <c r="R70" s="23"/>
    </row>
    <row r="71" spans="1:57" ht="13.8" x14ac:dyDescent="0.25">
      <c r="A71" s="636" t="s">
        <v>541</v>
      </c>
      <c r="B71" s="637"/>
      <c r="C71" s="637"/>
      <c r="D71" s="637"/>
      <c r="E71" s="637"/>
      <c r="F71" s="20"/>
      <c r="G71" s="538"/>
      <c r="H71" s="539" t="str">
        <f>IF(G71&gt;=D175,"да","нет")</f>
        <v>нет</v>
      </c>
      <c r="I71" s="540" t="s">
        <v>547</v>
      </c>
      <c r="J71" s="265"/>
      <c r="K71" s="175"/>
      <c r="L71" s="503" t="s">
        <v>548</v>
      </c>
      <c r="M71" s="164"/>
      <c r="N71" s="527" t="s">
        <v>537</v>
      </c>
      <c r="O71" s="23"/>
      <c r="P71" s="499"/>
      <c r="R71" s="23"/>
      <c r="T71" s="23"/>
    </row>
    <row r="72" spans="1:57" ht="10.5" customHeight="1" x14ac:dyDescent="0.25">
      <c r="A72" s="541"/>
      <c r="B72" s="20"/>
      <c r="C72" s="20"/>
      <c r="D72" s="114"/>
      <c r="E72" s="114"/>
      <c r="F72" s="114"/>
      <c r="G72" s="20"/>
      <c r="H72" s="114"/>
      <c r="I72" s="114"/>
      <c r="J72" s="542"/>
      <c r="K72" s="175"/>
      <c r="L72" s="152"/>
      <c r="M72" s="151"/>
      <c r="N72" s="154"/>
      <c r="P72" s="499"/>
      <c r="T72" s="23"/>
    </row>
    <row r="73" spans="1:57" ht="13.8" x14ac:dyDescent="0.25">
      <c r="A73" s="254" t="s">
        <v>398</v>
      </c>
      <c r="B73" s="114"/>
      <c r="C73" s="114"/>
      <c r="D73" s="114"/>
      <c r="E73" s="114"/>
      <c r="F73" s="20"/>
      <c r="G73" s="640" t="s">
        <v>281</v>
      </c>
      <c r="H73" s="640"/>
      <c r="I73" s="114"/>
      <c r="J73" s="542"/>
      <c r="K73" s="20"/>
      <c r="L73" s="164"/>
      <c r="M73" s="258"/>
      <c r="N73" s="23"/>
      <c r="O73" s="23"/>
      <c r="P73" s="499"/>
      <c r="Q73" s="23"/>
      <c r="R73" s="23"/>
      <c r="S73" s="23"/>
    </row>
    <row r="74" spans="1:57" ht="15" customHeight="1" x14ac:dyDescent="0.25">
      <c r="A74" s="638" t="s">
        <v>340</v>
      </c>
      <c r="B74" s="639"/>
      <c r="C74" s="639"/>
      <c r="D74" s="639"/>
      <c r="E74" s="639"/>
      <c r="F74" s="639"/>
      <c r="G74" s="640" t="s">
        <v>281</v>
      </c>
      <c r="H74" s="640"/>
      <c r="I74" s="114"/>
      <c r="J74" s="542"/>
      <c r="K74" s="20"/>
      <c r="L74" s="164"/>
      <c r="M74" s="260">
        <v>0</v>
      </c>
      <c r="N74" s="23"/>
      <c r="O74" s="23"/>
      <c r="P74" s="499"/>
      <c r="Q74" s="23"/>
      <c r="R74" s="23"/>
      <c r="S74" s="23"/>
    </row>
    <row r="75" spans="1:57" ht="6" customHeight="1" x14ac:dyDescent="0.25">
      <c r="A75" s="638"/>
      <c r="B75" s="639"/>
      <c r="C75" s="639"/>
      <c r="D75" s="639"/>
      <c r="E75" s="639"/>
      <c r="F75" s="639"/>
      <c r="G75" s="114"/>
      <c r="H75" s="114"/>
      <c r="I75" s="256"/>
      <c r="J75" s="261"/>
      <c r="K75" s="20"/>
      <c r="L75" s="164"/>
      <c r="M75" s="260"/>
      <c r="N75" s="23"/>
      <c r="O75" s="23"/>
      <c r="P75" s="499"/>
      <c r="Q75" s="23"/>
      <c r="R75" s="23"/>
      <c r="S75" s="23"/>
    </row>
    <row r="76" spans="1:57" ht="2.25" customHeight="1" x14ac:dyDescent="0.25">
      <c r="A76" s="254"/>
      <c r="B76" s="114"/>
      <c r="C76" s="114"/>
      <c r="D76" s="114"/>
      <c r="E76" s="114"/>
      <c r="F76" s="20"/>
      <c r="G76" s="114"/>
      <c r="H76" s="114"/>
      <c r="I76" s="57"/>
      <c r="J76" s="261"/>
      <c r="K76" s="20"/>
      <c r="L76" s="164"/>
      <c r="M76" s="258"/>
      <c r="N76" s="23"/>
      <c r="O76" s="23"/>
      <c r="P76" s="499"/>
      <c r="Q76" s="23"/>
      <c r="R76" s="23"/>
      <c r="S76" s="23"/>
    </row>
    <row r="77" spans="1:57" ht="13.8" x14ac:dyDescent="0.25">
      <c r="A77" s="254" t="s">
        <v>321</v>
      </c>
      <c r="B77" s="114"/>
      <c r="C77" s="114"/>
      <c r="D77" s="114"/>
      <c r="E77" s="114"/>
      <c r="F77" s="20"/>
      <c r="G77" s="640" t="s">
        <v>281</v>
      </c>
      <c r="H77" s="640"/>
      <c r="I77" s="256"/>
      <c r="J77" s="261"/>
      <c r="K77" s="20"/>
      <c r="L77" s="164"/>
      <c r="M77" s="260">
        <v>0</v>
      </c>
      <c r="N77" s="23"/>
      <c r="O77" s="23"/>
      <c r="P77" s="499"/>
      <c r="Q77" s="23"/>
      <c r="R77" s="23"/>
      <c r="S77" s="23"/>
    </row>
    <row r="78" spans="1:57" ht="13.8" x14ac:dyDescent="0.25">
      <c r="A78" s="254" t="s">
        <v>322</v>
      </c>
      <c r="B78" s="114"/>
      <c r="C78" s="114"/>
      <c r="D78" s="114"/>
      <c r="E78" s="114"/>
      <c r="F78" s="20"/>
      <c r="G78" s="640" t="s">
        <v>281</v>
      </c>
      <c r="H78" s="640"/>
      <c r="I78" s="256" t="s">
        <v>323</v>
      </c>
      <c r="J78" s="257"/>
      <c r="K78" s="20"/>
      <c r="L78" s="164"/>
      <c r="M78" s="260">
        <v>0</v>
      </c>
      <c r="N78" s="23"/>
      <c r="O78" s="23"/>
      <c r="P78" s="499"/>
      <c r="Q78" s="23"/>
      <c r="R78" s="23"/>
      <c r="S78" s="23"/>
    </row>
    <row r="79" spans="1:57" ht="13.8" hidden="1" x14ac:dyDescent="0.25">
      <c r="A79" s="262" t="s">
        <v>324</v>
      </c>
      <c r="B79" s="263" t="s">
        <v>325</v>
      </c>
      <c r="C79" s="20"/>
      <c r="D79" s="20"/>
      <c r="E79" s="20"/>
      <c r="F79" s="264" t="str">
        <f>IF(COUNTIF(G70:H78,"да"),"нет","да")</f>
        <v>да</v>
      </c>
      <c r="G79" s="20"/>
      <c r="H79" s="20"/>
      <c r="I79" s="20"/>
      <c r="J79" s="265"/>
      <c r="K79" s="266"/>
      <c r="L79" s="164"/>
      <c r="M79" s="267"/>
      <c r="N79" s="20"/>
      <c r="P79" s="499"/>
    </row>
    <row r="80" spans="1:57" hidden="1" x14ac:dyDescent="0.25">
      <c r="A80" s="695" t="str">
        <f>IF(вывод1="да",_72ч,"")</f>
        <v>В течение одного года пройти обучение по программе повышения квалификации.</v>
      </c>
      <c r="B80" s="696"/>
      <c r="C80" s="696"/>
      <c r="D80" s="696"/>
      <c r="E80" s="696"/>
      <c r="F80" s="696"/>
      <c r="G80" s="696"/>
      <c r="H80" s="696"/>
      <c r="I80" s="696"/>
      <c r="J80" s="697"/>
      <c r="K80" s="266"/>
      <c r="L80" s="164"/>
      <c r="M80" s="267"/>
      <c r="N80" s="20"/>
      <c r="P80" s="499"/>
    </row>
    <row r="81" spans="1:19" hidden="1" x14ac:dyDescent="0.25">
      <c r="A81" s="695"/>
      <c r="B81" s="696"/>
      <c r="C81" s="696"/>
      <c r="D81" s="696"/>
      <c r="E81" s="696"/>
      <c r="F81" s="696"/>
      <c r="G81" s="696"/>
      <c r="H81" s="696"/>
      <c r="I81" s="696"/>
      <c r="J81" s="697"/>
      <c r="K81" s="266"/>
      <c r="L81" s="164"/>
      <c r="M81" s="267"/>
      <c r="N81" s="20"/>
      <c r="P81" s="499"/>
    </row>
    <row r="82" spans="1:19" s="175" customFormat="1" ht="6" customHeight="1" x14ac:dyDescent="0.25">
      <c r="A82" s="254"/>
      <c r="B82" s="114"/>
      <c r="C82" s="114"/>
      <c r="D82" s="114"/>
      <c r="E82" s="114"/>
      <c r="F82" s="114"/>
      <c r="G82" s="114"/>
      <c r="H82" s="114"/>
      <c r="I82" s="57"/>
      <c r="J82" s="261"/>
      <c r="K82" s="268"/>
      <c r="L82" s="269"/>
      <c r="M82" s="270"/>
      <c r="N82" s="271"/>
      <c r="P82" s="499"/>
    </row>
    <row r="83" spans="1:19" ht="13.8" x14ac:dyDescent="0.25">
      <c r="A83" s="648" t="s">
        <v>326</v>
      </c>
      <c r="B83" s="649"/>
      <c r="C83" s="649"/>
      <c r="D83" s="649"/>
      <c r="E83" s="649"/>
      <c r="F83" s="649"/>
      <c r="G83" s="649"/>
      <c r="H83" s="649"/>
      <c r="I83" s="649"/>
      <c r="J83" s="272"/>
      <c r="K83" s="268"/>
      <c r="L83" s="164"/>
      <c r="M83" s="270"/>
      <c r="N83" s="271"/>
      <c r="O83" s="175"/>
      <c r="P83" s="499"/>
      <c r="Q83" s="175"/>
      <c r="R83" s="175"/>
      <c r="S83" s="175"/>
    </row>
    <row r="84" spans="1:19" ht="5.25" customHeight="1" x14ac:dyDescent="0.25">
      <c r="A84" s="273"/>
      <c r="B84" s="274"/>
      <c r="C84" s="274"/>
      <c r="D84" s="274"/>
      <c r="E84" s="274"/>
      <c r="F84" s="274"/>
      <c r="G84" s="274"/>
      <c r="H84" s="274"/>
      <c r="I84" s="274"/>
      <c r="J84" s="275"/>
      <c r="K84" s="268"/>
      <c r="L84" s="164"/>
      <c r="M84" s="270"/>
      <c r="N84" s="271"/>
      <c r="O84" s="175"/>
      <c r="P84" s="499"/>
      <c r="Q84" s="175"/>
      <c r="R84" s="175"/>
      <c r="S84" s="175"/>
    </row>
    <row r="85" spans="1:19" ht="15" customHeight="1" x14ac:dyDescent="0.25">
      <c r="A85" s="638" t="s">
        <v>335</v>
      </c>
      <c r="B85" s="639"/>
      <c r="C85" s="639"/>
      <c r="D85" s="639"/>
      <c r="E85" s="639"/>
      <c r="F85" s="639"/>
      <c r="G85" s="639"/>
      <c r="H85" s="639"/>
      <c r="I85" s="20"/>
      <c r="J85" s="265"/>
      <c r="K85" s="276"/>
      <c r="M85" s="267"/>
      <c r="N85" s="20"/>
      <c r="P85" s="499"/>
    </row>
    <row r="86" spans="1:19" ht="15.6" x14ac:dyDescent="0.3">
      <c r="A86" s="638"/>
      <c r="B86" s="639"/>
      <c r="C86" s="639"/>
      <c r="D86" s="639"/>
      <c r="E86" s="639"/>
      <c r="F86" s="639"/>
      <c r="G86" s="639"/>
      <c r="H86" s="639"/>
      <c r="I86" s="255" t="s">
        <v>281</v>
      </c>
      <c r="J86" s="277" t="str">
        <f>IF(OR(G73="да",G74="да"),"да",рек2)</f>
        <v>нет</v>
      </c>
      <c r="K86" s="266"/>
      <c r="L86" s="266"/>
      <c r="P86" s="499"/>
    </row>
    <row r="87" spans="1:19" ht="21.75" customHeight="1" x14ac:dyDescent="0.25">
      <c r="A87" s="638"/>
      <c r="B87" s="639"/>
      <c r="C87" s="639"/>
      <c r="D87" s="639"/>
      <c r="E87" s="639"/>
      <c r="F87" s="639"/>
      <c r="G87" s="639"/>
      <c r="H87" s="639"/>
      <c r="I87" s="259"/>
      <c r="J87" s="278"/>
      <c r="K87" s="266"/>
      <c r="P87" s="499"/>
    </row>
    <row r="88" spans="1:19" ht="15" customHeight="1" x14ac:dyDescent="0.25">
      <c r="A88" s="638" t="s">
        <v>336</v>
      </c>
      <c r="B88" s="639"/>
      <c r="C88" s="639"/>
      <c r="D88" s="639"/>
      <c r="E88" s="639"/>
      <c r="F88" s="639"/>
      <c r="G88" s="639"/>
      <c r="H88" s="639"/>
      <c r="I88" s="255" t="s">
        <v>433</v>
      </c>
      <c r="J88" s="265"/>
      <c r="K88" s="266"/>
      <c r="P88" s="499"/>
    </row>
    <row r="89" spans="1:19" ht="15.75" customHeight="1" x14ac:dyDescent="0.25">
      <c r="A89" s="638"/>
      <c r="B89" s="639"/>
      <c r="C89" s="639"/>
      <c r="D89" s="639"/>
      <c r="E89" s="639"/>
      <c r="F89" s="639"/>
      <c r="G89" s="639"/>
      <c r="H89" s="639"/>
      <c r="I89" s="20"/>
      <c r="J89" s="265"/>
      <c r="K89" s="266"/>
      <c r="P89" s="499"/>
    </row>
    <row r="90" spans="1:19" ht="13.8" hidden="1" x14ac:dyDescent="0.25">
      <c r="A90" s="262" t="s">
        <v>324</v>
      </c>
      <c r="B90" s="263" t="s">
        <v>327</v>
      </c>
      <c r="C90" s="20"/>
      <c r="D90" s="20"/>
      <c r="E90" s="20"/>
      <c r="F90" s="264" t="str">
        <f>IF(AND(J86="нет",рек3="нет"),"да","нет")</f>
        <v>нет</v>
      </c>
      <c r="G90" s="20"/>
      <c r="H90" s="20"/>
      <c r="I90" s="20"/>
      <c r="J90" s="265"/>
      <c r="K90" s="266"/>
      <c r="L90" s="279"/>
      <c r="P90" s="499"/>
    </row>
    <row r="91" spans="1:19" hidden="1" x14ac:dyDescent="0.25">
      <c r="A91" s="695" t="str">
        <f>IF(AND(J86="нет",рек3="нет"),_дпо,"")</f>
        <v/>
      </c>
      <c r="B91" s="696"/>
      <c r="C91" s="696"/>
      <c r="D91" s="696"/>
      <c r="E91" s="696"/>
      <c r="F91" s="696"/>
      <c r="G91" s="696"/>
      <c r="H91" s="696"/>
      <c r="I91" s="696"/>
      <c r="J91" s="697"/>
      <c r="K91" s="266"/>
      <c r="L91" s="279"/>
      <c r="P91" s="499"/>
    </row>
    <row r="92" spans="1:19" hidden="1" x14ac:dyDescent="0.25">
      <c r="A92" s="695" t="str">
        <f>IF(рек3="-",_рек3,"")</f>
        <v/>
      </c>
      <c r="B92" s="696"/>
      <c r="C92" s="696"/>
      <c r="D92" s="696"/>
      <c r="E92" s="696"/>
      <c r="F92" s="696"/>
      <c r="G92" s="696"/>
      <c r="H92" s="696"/>
      <c r="I92" s="696"/>
      <c r="J92" s="697"/>
      <c r="K92" s="266"/>
      <c r="L92" s="279"/>
      <c r="P92" s="499"/>
    </row>
    <row r="93" spans="1:19" ht="3.75" customHeight="1" x14ac:dyDescent="0.25">
      <c r="A93" s="488"/>
      <c r="B93" s="489"/>
      <c r="C93" s="489"/>
      <c r="D93" s="489"/>
      <c r="E93" s="489"/>
      <c r="F93" s="489"/>
      <c r="G93" s="489"/>
      <c r="H93" s="489"/>
      <c r="I93" s="489"/>
      <c r="J93" s="490"/>
      <c r="K93" s="266"/>
      <c r="L93" s="279"/>
      <c r="P93" s="499"/>
    </row>
    <row r="94" spans="1:19" ht="13.8" x14ac:dyDescent="0.25">
      <c r="A94" s="694" t="s">
        <v>167</v>
      </c>
      <c r="B94" s="649"/>
      <c r="C94" s="649"/>
      <c r="D94" s="649"/>
      <c r="E94" s="649"/>
      <c r="F94" s="649"/>
      <c r="G94" s="649"/>
      <c r="H94" s="649"/>
      <c r="I94" s="649"/>
      <c r="J94" s="250"/>
      <c r="P94" s="499"/>
    </row>
    <row r="95" spans="1:19" s="175" customFormat="1" ht="4.5" customHeight="1" x14ac:dyDescent="0.25">
      <c r="A95" s="281"/>
      <c r="B95" s="180"/>
      <c r="C95" s="180"/>
      <c r="D95" s="180"/>
      <c r="E95" s="180"/>
      <c r="F95" s="180"/>
      <c r="G95" s="180"/>
      <c r="H95" s="180"/>
      <c r="I95" s="180"/>
      <c r="J95" s="278"/>
      <c r="K95" s="183"/>
      <c r="L95" s="184"/>
      <c r="M95" s="185"/>
      <c r="P95" s="499"/>
    </row>
    <row r="96" spans="1:19" s="175" customFormat="1" ht="13.8" x14ac:dyDescent="0.25">
      <c r="A96" s="282" t="s">
        <v>237</v>
      </c>
      <c r="B96" s="180"/>
      <c r="C96" s="180"/>
      <c r="D96" s="180"/>
      <c r="E96" s="180"/>
      <c r="F96" s="169">
        <v>1</v>
      </c>
      <c r="G96" s="180"/>
      <c r="H96" s="180"/>
      <c r="I96" s="180"/>
      <c r="J96" s="278"/>
      <c r="K96" s="183"/>
      <c r="L96" s="184"/>
      <c r="M96" s="185"/>
      <c r="P96" s="499"/>
    </row>
    <row r="97" spans="1:20" ht="6.75" customHeight="1" x14ac:dyDescent="0.25">
      <c r="A97" s="283"/>
      <c r="B97" s="23"/>
      <c r="C97" s="23"/>
      <c r="D97" s="23"/>
      <c r="E97" s="23"/>
      <c r="F97" s="23"/>
      <c r="G97" s="23"/>
      <c r="H97" s="23"/>
      <c r="I97" s="23"/>
      <c r="J97" s="284"/>
      <c r="P97" s="499"/>
    </row>
    <row r="98" spans="1:20" ht="13.8" x14ac:dyDescent="0.25">
      <c r="A98" s="285" t="s">
        <v>153</v>
      </c>
      <c r="B98" s="23"/>
      <c r="C98" s="664" t="s">
        <v>619</v>
      </c>
      <c r="D98" s="664"/>
      <c r="E98" s="664"/>
      <c r="F98" s="664"/>
      <c r="G98" s="664"/>
      <c r="H98" s="664"/>
      <c r="I98" s="664"/>
      <c r="J98" s="284"/>
      <c r="K98" s="153" t="str">
        <f>IF(LEN(L98)&gt;40,M98,L98)</f>
        <v>Анохин Александр Олегович</v>
      </c>
      <c r="L98" s="151" t="str">
        <f>PROPER(TRIM(C98))</f>
        <v>Анохин Александр Олегович</v>
      </c>
      <c r="M98" s="154" t="str">
        <f>IF(L98="","",LEFT(L98,(FIND(" ",L98)+1))&amp;"."&amp;MID(L98,FIND(" ",L98,FIND(" ",L98)+1)+1,1)&amp;".")</f>
        <v>Анохин А.О.</v>
      </c>
      <c r="P98" s="499"/>
    </row>
    <row r="99" spans="1:20" ht="16.8" x14ac:dyDescent="0.25">
      <c r="A99" s="711" t="s">
        <v>521</v>
      </c>
      <c r="B99" s="23"/>
      <c r="C99" s="702" t="s">
        <v>159</v>
      </c>
      <c r="D99" s="702"/>
      <c r="E99" s="702"/>
      <c r="F99" s="702"/>
      <c r="G99" s="702"/>
      <c r="H99" s="702"/>
      <c r="I99" s="247"/>
      <c r="J99" s="284"/>
      <c r="K99" s="153"/>
      <c r="P99" s="499"/>
    </row>
    <row r="100" spans="1:20" ht="13.8" x14ac:dyDescent="0.25">
      <c r="A100" s="711"/>
      <c r="B100" s="188" t="s">
        <v>235</v>
      </c>
      <c r="C100" s="664"/>
      <c r="D100" s="664"/>
      <c r="E100" s="664"/>
      <c r="F100" s="664"/>
      <c r="G100" s="664"/>
      <c r="H100" s="664"/>
      <c r="I100" s="664"/>
      <c r="J100" s="284"/>
      <c r="K100" s="153" t="str">
        <f>IF(LEN(L100)&gt;40,M100,L100)</f>
        <v/>
      </c>
      <c r="L100" s="151" t="str">
        <f>PROPER(TRIM(C100))</f>
        <v/>
      </c>
      <c r="M100" s="154" t="str">
        <f>IF(L100="","",LEFT(L100,(FIND(" ",L100)+1))&amp;"."&amp;MID(L100,FIND(" ",L100,FIND(" ",L100)+1)+1,1)&amp;".")</f>
        <v/>
      </c>
      <c r="P100" s="499"/>
    </row>
    <row r="101" spans="1:20" ht="16.8" x14ac:dyDescent="0.25">
      <c r="A101" s="286"/>
      <c r="B101" s="188"/>
      <c r="C101" s="702" t="s">
        <v>159</v>
      </c>
      <c r="D101" s="702"/>
      <c r="E101" s="702"/>
      <c r="F101" s="702"/>
      <c r="G101" s="702"/>
      <c r="H101" s="702"/>
      <c r="I101" s="247"/>
      <c r="J101" s="284"/>
      <c r="P101" s="499"/>
    </row>
    <row r="102" spans="1:20" ht="13.8" x14ac:dyDescent="0.25">
      <c r="A102" s="286"/>
      <c r="B102" s="188" t="str">
        <f>IF($F$96&gt;1,"2)","")</f>
        <v/>
      </c>
      <c r="C102" s="664"/>
      <c r="D102" s="664"/>
      <c r="E102" s="664"/>
      <c r="F102" s="664"/>
      <c r="G102" s="664"/>
      <c r="H102" s="664"/>
      <c r="I102" s="664"/>
      <c r="J102" s="284"/>
      <c r="K102" s="153" t="str">
        <f>IF(LEN(L102)&gt;40,M102,L102)</f>
        <v/>
      </c>
      <c r="L102" s="151" t="str">
        <f>PROPER(TRIM(C102))</f>
        <v/>
      </c>
      <c r="M102" s="154" t="str">
        <f>IF(L102="","",LEFT(L102,(FIND(" ",L102)+1))&amp;"."&amp;MID(L102,FIND(" ",L102,FIND(" ",L102)+1)+1,1)&amp;".")</f>
        <v/>
      </c>
      <c r="P102" s="499"/>
    </row>
    <row r="103" spans="1:20" ht="16.8" x14ac:dyDescent="0.25">
      <c r="A103" s="286"/>
      <c r="B103" s="188"/>
      <c r="C103" s="702" t="s">
        <v>159</v>
      </c>
      <c r="D103" s="702"/>
      <c r="E103" s="702"/>
      <c r="F103" s="702"/>
      <c r="G103" s="702"/>
      <c r="H103" s="702"/>
      <c r="I103" s="247"/>
      <c r="J103" s="284"/>
      <c r="P103" s="499"/>
    </row>
    <row r="104" spans="1:20" ht="13.8" hidden="1" x14ac:dyDescent="0.25">
      <c r="A104" s="287"/>
      <c r="B104" s="188" t="str">
        <f>IF($F$96&gt;2,"3)","")</f>
        <v/>
      </c>
      <c r="C104" s="664"/>
      <c r="D104" s="664"/>
      <c r="E104" s="664"/>
      <c r="F104" s="664"/>
      <c r="G104" s="664"/>
      <c r="H104" s="664"/>
      <c r="I104" s="664"/>
      <c r="J104" s="284"/>
      <c r="K104" s="153" t="str">
        <f>IF(LEN(L104)&gt;40,M104,L104)</f>
        <v/>
      </c>
      <c r="L104" s="151" t="str">
        <f>PROPER(TRIM(C104))</f>
        <v/>
      </c>
      <c r="M104" s="154" t="str">
        <f>IF(L104="","",LEFT(L104,(FIND(" ",L104)+1))&amp;"."&amp;MID(L104,FIND(" ",L104,FIND(" ",L104)+1)+1,1)&amp;".")</f>
        <v/>
      </c>
      <c r="P104" s="499"/>
    </row>
    <row r="105" spans="1:20" ht="16.8" hidden="1" x14ac:dyDescent="0.25">
      <c r="A105" s="287"/>
      <c r="B105" s="105"/>
      <c r="C105" s="702" t="s">
        <v>159</v>
      </c>
      <c r="D105" s="702"/>
      <c r="E105" s="702"/>
      <c r="F105" s="702"/>
      <c r="G105" s="702"/>
      <c r="H105" s="702"/>
      <c r="I105" s="247"/>
      <c r="J105" s="284"/>
      <c r="P105" s="499"/>
    </row>
    <row r="106" spans="1:20" ht="3" customHeight="1" x14ac:dyDescent="0.25">
      <c r="A106" s="280"/>
      <c r="B106" s="20"/>
      <c r="C106" s="20"/>
      <c r="D106" s="20"/>
      <c r="E106" s="20"/>
      <c r="F106" s="20"/>
      <c r="G106" s="20"/>
      <c r="H106" s="20"/>
      <c r="I106" s="20"/>
      <c r="J106" s="265"/>
      <c r="P106" s="499"/>
    </row>
    <row r="107" spans="1:20" ht="15.6" x14ac:dyDescent="0.3">
      <c r="A107" s="288" t="s">
        <v>165</v>
      </c>
      <c r="B107" s="98" t="s">
        <v>166</v>
      </c>
      <c r="C107" s="170">
        <v>1</v>
      </c>
      <c r="D107" s="90" t="s">
        <v>112</v>
      </c>
      <c r="E107" s="170" t="s">
        <v>187</v>
      </c>
      <c r="F107" s="99"/>
      <c r="G107" s="100">
        <v>20</v>
      </c>
      <c r="H107" s="171">
        <v>18</v>
      </c>
      <c r="I107" s="248" t="s">
        <v>113</v>
      </c>
      <c r="J107" s="289"/>
      <c r="P107" s="499"/>
    </row>
    <row r="108" spans="1:20" ht="5.25" customHeight="1" x14ac:dyDescent="0.25">
      <c r="A108" s="290"/>
      <c r="B108" s="291"/>
      <c r="C108" s="291"/>
      <c r="D108" s="291"/>
      <c r="E108" s="291"/>
      <c r="F108" s="291"/>
      <c r="G108" s="291"/>
      <c r="H108" s="291"/>
      <c r="I108" s="291"/>
      <c r="J108" s="292"/>
      <c r="P108" s="499"/>
    </row>
    <row r="109" spans="1:20" ht="13.8" x14ac:dyDescent="0.25">
      <c r="A109" s="703" t="str">
        <f>IF(F110="","","Результат экспертизы:")</f>
        <v/>
      </c>
      <c r="B109" s="704"/>
      <c r="C109" s="704"/>
      <c r="D109" s="704"/>
      <c r="E109" s="704"/>
      <c r="F109" s="704"/>
      <c r="G109" s="704"/>
      <c r="H109" s="704"/>
      <c r="I109" s="704"/>
      <c r="J109" s="327"/>
      <c r="K109" s="271"/>
      <c r="L109" s="152"/>
      <c r="M109" s="151"/>
      <c r="N109" s="154"/>
      <c r="P109" s="499"/>
      <c r="R109" s="20"/>
      <c r="S109" s="20"/>
      <c r="T109" s="20"/>
    </row>
    <row r="110" spans="1:20" ht="27" customHeight="1" x14ac:dyDescent="0.3">
      <c r="A110" s="373"/>
      <c r="B110" s="374"/>
      <c r="C110" s="374"/>
      <c r="D110" s="374"/>
      <c r="E110" s="375" t="str">
        <f>IF(F110="","","Всего набрано аттестуемым педагогическим работником  ")</f>
        <v/>
      </c>
      <c r="F110" s="376" t="str">
        <f>всего</f>
        <v/>
      </c>
      <c r="G110" s="377" t="str">
        <f>IF(F110="","","баллов.")</f>
        <v/>
      </c>
      <c r="H110" s="374"/>
      <c r="I110" s="377" t="str">
        <f>IF(F110="","","(мин. П-"&amp;ЭЗ!F460&amp;", В-"&amp;ЭЗ!F461&amp;")")</f>
        <v/>
      </c>
      <c r="J110" s="378"/>
      <c r="K110" s="271"/>
      <c r="L110" s="152"/>
      <c r="M110" s="151"/>
      <c r="N110" s="154"/>
      <c r="P110" s="499"/>
      <c r="R110" s="20"/>
      <c r="S110" s="20"/>
      <c r="T110" s="20"/>
    </row>
    <row r="111" spans="1:20" ht="3.75" customHeight="1" x14ac:dyDescent="0.3">
      <c r="A111" s="373"/>
      <c r="B111" s="374"/>
      <c r="C111" s="374"/>
      <c r="D111" s="374"/>
      <c r="E111" s="379"/>
      <c r="F111" s="380"/>
      <c r="G111" s="374"/>
      <c r="H111" s="374"/>
      <c r="I111" s="374"/>
      <c r="J111" s="378"/>
      <c r="K111" s="271"/>
      <c r="L111" s="152"/>
      <c r="M111" s="151"/>
      <c r="N111" s="154"/>
      <c r="P111" s="499"/>
      <c r="R111" s="20"/>
      <c r="S111" s="20"/>
      <c r="T111" s="20"/>
    </row>
    <row r="112" spans="1:20" ht="32.25" customHeight="1" x14ac:dyDescent="0.25">
      <c r="A112" s="705" t="str">
        <f>IF(F110="","",CONCATENATE("Уровень квалификации ",ЭЗ!E466,ЭЗ!G466," требованиям, предъявляемым к заявленной ",ЭЗ!E467," квалификационной категории. "))</f>
        <v/>
      </c>
      <c r="B112" s="706"/>
      <c r="C112" s="706"/>
      <c r="D112" s="706"/>
      <c r="E112" s="706"/>
      <c r="F112" s="706"/>
      <c r="G112" s="706"/>
      <c r="H112" s="706"/>
      <c r="I112" s="706"/>
      <c r="J112" s="707"/>
      <c r="K112" s="271"/>
      <c r="L112" s="152"/>
      <c r="M112" s="151"/>
      <c r="N112" s="154"/>
      <c r="P112" s="499"/>
      <c r="R112" s="20"/>
      <c r="S112" s="20"/>
      <c r="T112" s="20"/>
    </row>
    <row r="113" spans="1:20" ht="34.5" customHeight="1" x14ac:dyDescent="0.25">
      <c r="A113" s="708" t="str">
        <f>IF(F110="","","Рекомендации: "&amp;ЭЗ!A492)</f>
        <v/>
      </c>
      <c r="B113" s="709"/>
      <c r="C113" s="709"/>
      <c r="D113" s="709"/>
      <c r="E113" s="709"/>
      <c r="F113" s="709"/>
      <c r="G113" s="709"/>
      <c r="H113" s="709"/>
      <c r="I113" s="709"/>
      <c r="J113" s="710"/>
      <c r="K113" s="271"/>
      <c r="L113" s="152"/>
      <c r="M113" s="151"/>
      <c r="N113" s="154"/>
      <c r="P113" s="499"/>
      <c r="R113" s="20"/>
      <c r="S113" s="20"/>
      <c r="T113" s="20"/>
    </row>
    <row r="114" spans="1:20" ht="3" customHeight="1" x14ac:dyDescent="0.25">
      <c r="A114" s="424"/>
      <c r="B114" s="425"/>
      <c r="C114" s="425"/>
      <c r="D114" s="425"/>
      <c r="E114" s="425"/>
      <c r="F114" s="425"/>
      <c r="G114" s="425"/>
      <c r="H114" s="425"/>
      <c r="I114" s="425"/>
      <c r="J114" s="426"/>
      <c r="K114" s="271"/>
      <c r="L114" s="152"/>
      <c r="M114" s="151"/>
      <c r="N114" s="154"/>
      <c r="P114" s="499"/>
      <c r="R114" s="20"/>
      <c r="S114" s="20"/>
      <c r="T114" s="20"/>
    </row>
    <row r="115" spans="1:20" ht="15.75" customHeight="1" x14ac:dyDescent="0.25">
      <c r="A115" s="698" t="str">
        <f>IF(ЭЗ!A510&lt;12,"Введите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99"/>
      <c r="C115" s="699"/>
      <c r="D115" s="699"/>
      <c r="E115" s="699"/>
      <c r="F115" s="699"/>
      <c r="G115" s="699"/>
      <c r="H115" s="699"/>
      <c r="I115" s="699"/>
      <c r="J115" s="700"/>
      <c r="P115" s="499"/>
    </row>
    <row r="116" spans="1:20" x14ac:dyDescent="0.25">
      <c r="A116" s="698"/>
      <c r="B116" s="699"/>
      <c r="C116" s="699"/>
      <c r="D116" s="699"/>
      <c r="E116" s="699"/>
      <c r="F116" s="699"/>
      <c r="G116" s="699"/>
      <c r="H116" s="699"/>
      <c r="I116" s="699"/>
      <c r="J116" s="700"/>
      <c r="P116" s="499"/>
    </row>
    <row r="117" spans="1:20" hidden="1" x14ac:dyDescent="0.25">
      <c r="A117" s="280"/>
      <c r="B117" s="320">
        <v>1</v>
      </c>
      <c r="C117" s="320">
        <v>2</v>
      </c>
      <c r="D117" s="320">
        <v>3</v>
      </c>
      <c r="E117" s="320">
        <v>4</v>
      </c>
      <c r="F117" s="320">
        <v>5</v>
      </c>
      <c r="G117" s="320">
        <v>6</v>
      </c>
      <c r="H117" s="320">
        <v>7</v>
      </c>
      <c r="I117" s="20"/>
      <c r="J117" s="265"/>
      <c r="P117" s="499"/>
    </row>
    <row r="118" spans="1:20" ht="15.6" hidden="1" x14ac:dyDescent="0.3">
      <c r="A118" s="280">
        <v>1</v>
      </c>
      <c r="B118" s="603" t="s">
        <v>79</v>
      </c>
      <c r="C118" s="604" t="s">
        <v>88</v>
      </c>
      <c r="D118" s="605" t="s">
        <v>89</v>
      </c>
      <c r="E118" s="604" t="s">
        <v>97</v>
      </c>
      <c r="F118" s="603" t="s">
        <v>101</v>
      </c>
      <c r="G118" s="604" t="s">
        <v>107</v>
      </c>
      <c r="H118" s="606" t="s">
        <v>522</v>
      </c>
      <c r="I118" s="608"/>
      <c r="J118" s="609" t="s">
        <v>594</v>
      </c>
      <c r="P118" s="499"/>
    </row>
    <row r="119" spans="1:20" ht="15.6" hidden="1" x14ac:dyDescent="0.3">
      <c r="A119" s="280">
        <v>2</v>
      </c>
      <c r="B119" s="603" t="s">
        <v>70</v>
      </c>
      <c r="C119" s="610" t="s">
        <v>584</v>
      </c>
      <c r="D119" s="605" t="s">
        <v>90</v>
      </c>
      <c r="E119" s="604" t="s">
        <v>96</v>
      </c>
      <c r="F119" s="603" t="s">
        <v>102</v>
      </c>
      <c r="G119" s="604" t="s">
        <v>106</v>
      </c>
      <c r="H119" s="606" t="s">
        <v>576</v>
      </c>
      <c r="I119" s="607"/>
      <c r="J119" s="607"/>
      <c r="P119" s="499"/>
    </row>
    <row r="120" spans="1:20" ht="15.6" hidden="1" x14ac:dyDescent="0.3">
      <c r="A120" s="280">
        <v>3</v>
      </c>
      <c r="B120" s="603" t="s">
        <v>595</v>
      </c>
      <c r="C120" s="604" t="s">
        <v>87</v>
      </c>
      <c r="D120" s="605" t="s">
        <v>91</v>
      </c>
      <c r="E120" s="604" t="s">
        <v>596</v>
      </c>
      <c r="F120" s="603" t="s">
        <v>103</v>
      </c>
      <c r="G120" s="604" t="s">
        <v>108</v>
      </c>
      <c r="H120" s="606" t="s">
        <v>523</v>
      </c>
      <c r="I120" s="607"/>
      <c r="J120" s="607"/>
      <c r="P120" s="499"/>
    </row>
    <row r="121" spans="1:20" ht="15.6" hidden="1" x14ac:dyDescent="0.3">
      <c r="A121" s="280">
        <v>4</v>
      </c>
      <c r="B121" s="603" t="s">
        <v>80</v>
      </c>
      <c r="C121" s="604" t="s">
        <v>86</v>
      </c>
      <c r="D121" s="605" t="s">
        <v>92</v>
      </c>
      <c r="E121" s="604" t="s">
        <v>98</v>
      </c>
      <c r="F121" s="603" t="s">
        <v>65</v>
      </c>
      <c r="G121" s="604" t="s">
        <v>109</v>
      </c>
      <c r="H121" s="611" t="s">
        <v>66</v>
      </c>
      <c r="I121" s="607"/>
      <c r="J121" s="607"/>
      <c r="P121" s="499"/>
    </row>
    <row r="122" spans="1:20" ht="15.6" hidden="1" x14ac:dyDescent="0.3">
      <c r="A122" s="280">
        <v>5</v>
      </c>
      <c r="B122" s="606" t="s">
        <v>577</v>
      </c>
      <c r="C122" s="610" t="s">
        <v>578</v>
      </c>
      <c r="D122" s="605" t="s">
        <v>93</v>
      </c>
      <c r="E122" s="604" t="s">
        <v>99</v>
      </c>
      <c r="F122" s="606" t="s">
        <v>579</v>
      </c>
      <c r="G122" s="604" t="s">
        <v>110</v>
      </c>
      <c r="H122" s="606" t="s">
        <v>580</v>
      </c>
      <c r="I122" s="607"/>
      <c r="J122" s="607"/>
      <c r="P122" s="499"/>
    </row>
    <row r="123" spans="1:20" ht="15.6" hidden="1" x14ac:dyDescent="0.3">
      <c r="A123" s="280">
        <v>6</v>
      </c>
      <c r="B123" s="603" t="s">
        <v>81</v>
      </c>
      <c r="C123" s="604" t="s">
        <v>85</v>
      </c>
      <c r="D123" s="605" t="s">
        <v>94</v>
      </c>
      <c r="E123" s="612" t="s">
        <v>524</v>
      </c>
      <c r="F123" s="603" t="s">
        <v>104</v>
      </c>
      <c r="G123" s="604" t="s">
        <v>111</v>
      </c>
      <c r="H123" s="613" t="s">
        <v>525</v>
      </c>
      <c r="I123" s="607"/>
      <c r="J123" s="607"/>
      <c r="P123" s="499"/>
    </row>
    <row r="124" spans="1:20" ht="15.6" hidden="1" x14ac:dyDescent="0.3">
      <c r="A124" s="280">
        <v>7</v>
      </c>
      <c r="B124" s="603" t="s">
        <v>82</v>
      </c>
      <c r="C124" s="604" t="s">
        <v>67</v>
      </c>
      <c r="D124" s="614" t="s">
        <v>581</v>
      </c>
      <c r="E124" s="604" t="s">
        <v>74</v>
      </c>
      <c r="F124" s="603" t="s">
        <v>77</v>
      </c>
      <c r="G124" s="604" t="s">
        <v>76</v>
      </c>
      <c r="H124" s="613" t="s">
        <v>526</v>
      </c>
      <c r="I124" s="607"/>
      <c r="J124" s="607"/>
      <c r="P124" s="499"/>
    </row>
    <row r="125" spans="1:20" ht="15.6" hidden="1" x14ac:dyDescent="0.3">
      <c r="A125" s="280">
        <v>8</v>
      </c>
      <c r="B125" s="603" t="s">
        <v>83</v>
      </c>
      <c r="C125" s="604" t="s">
        <v>68</v>
      </c>
      <c r="D125" s="605" t="s">
        <v>72</v>
      </c>
      <c r="E125" s="604" t="s">
        <v>75</v>
      </c>
      <c r="F125" s="603" t="s">
        <v>78</v>
      </c>
      <c r="G125" s="615" t="s">
        <v>585</v>
      </c>
      <c r="H125" s="613" t="s">
        <v>586</v>
      </c>
      <c r="I125" s="607"/>
      <c r="J125" s="607"/>
      <c r="P125" s="499"/>
    </row>
    <row r="126" spans="1:20" ht="15.6" hidden="1" x14ac:dyDescent="0.3">
      <c r="A126" s="280">
        <v>9</v>
      </c>
      <c r="B126" s="603" t="s">
        <v>84</v>
      </c>
      <c r="C126" s="604" t="s">
        <v>597</v>
      </c>
      <c r="D126" s="605" t="s">
        <v>95</v>
      </c>
      <c r="E126" s="604" t="s">
        <v>100</v>
      </c>
      <c r="F126" s="603" t="s">
        <v>105</v>
      </c>
      <c r="G126" s="604"/>
      <c r="H126" s="603"/>
      <c r="I126" s="607"/>
      <c r="J126" s="607"/>
      <c r="P126" s="499"/>
    </row>
    <row r="127" spans="1:20" ht="15.6" hidden="1" x14ac:dyDescent="0.3">
      <c r="A127" s="280">
        <v>10</v>
      </c>
      <c r="B127" s="616" t="s">
        <v>598</v>
      </c>
      <c r="C127" s="604" t="s">
        <v>69</v>
      </c>
      <c r="D127" s="614" t="s">
        <v>582</v>
      </c>
      <c r="E127" s="604" t="s">
        <v>599</v>
      </c>
      <c r="F127" s="607"/>
      <c r="G127" s="604"/>
      <c r="H127" s="607"/>
      <c r="I127" s="607"/>
      <c r="J127" s="607"/>
      <c r="P127" s="499"/>
    </row>
    <row r="128" spans="1:20" ht="15.6" hidden="1" x14ac:dyDescent="0.3">
      <c r="A128" s="280">
        <v>11</v>
      </c>
      <c r="B128" s="603"/>
      <c r="C128" s="604" t="s">
        <v>71</v>
      </c>
      <c r="D128" s="607"/>
      <c r="E128" s="617"/>
      <c r="F128" s="607"/>
      <c r="G128" s="607"/>
      <c r="H128" s="607"/>
      <c r="I128" s="607"/>
      <c r="J128" s="607"/>
      <c r="P128" s="499"/>
    </row>
    <row r="129" spans="1:16" ht="15.6" hidden="1" x14ac:dyDescent="0.3">
      <c r="A129" s="280">
        <v>12</v>
      </c>
      <c r="B129" s="618"/>
      <c r="C129" s="610" t="s">
        <v>73</v>
      </c>
      <c r="D129" s="607"/>
      <c r="E129" s="617"/>
      <c r="F129" s="607"/>
      <c r="G129" s="607"/>
      <c r="H129" s="607"/>
      <c r="I129" s="607"/>
      <c r="J129" s="607"/>
      <c r="P129" s="499"/>
    </row>
    <row r="130" spans="1:16" ht="15.6" hidden="1" x14ac:dyDescent="0.3">
      <c r="A130" s="280"/>
      <c r="B130" s="618"/>
      <c r="C130" s="612" t="s">
        <v>528</v>
      </c>
      <c r="D130" s="607"/>
      <c r="E130" s="617"/>
      <c r="F130" s="607"/>
      <c r="G130" s="607"/>
      <c r="H130" s="607"/>
      <c r="I130" s="607"/>
      <c r="J130" s="607"/>
      <c r="P130" s="499"/>
    </row>
    <row r="131" spans="1:16" ht="15.6" hidden="1" x14ac:dyDescent="0.3">
      <c r="A131" s="280"/>
      <c r="B131" s="618" t="s">
        <v>527</v>
      </c>
      <c r="C131" s="619" t="s">
        <v>527</v>
      </c>
      <c r="D131" s="619" t="s">
        <v>527</v>
      </c>
      <c r="E131" s="617" t="s">
        <v>527</v>
      </c>
      <c r="F131" s="619" t="s">
        <v>527</v>
      </c>
      <c r="G131" s="619" t="s">
        <v>527</v>
      </c>
      <c r="H131" s="619" t="s">
        <v>527</v>
      </c>
      <c r="I131" s="607"/>
      <c r="J131" s="607"/>
      <c r="P131" s="499"/>
    </row>
    <row r="132" spans="1:16" ht="2.25" hidden="1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65"/>
      <c r="P132" s="499"/>
    </row>
    <row r="133" spans="1:16" ht="3.6" customHeight="1" x14ac:dyDescent="0.25">
      <c r="A133" s="280"/>
      <c r="B133" s="20"/>
      <c r="C133" s="158"/>
      <c r="D133" s="158"/>
      <c r="E133" s="158"/>
      <c r="F133" s="20"/>
      <c r="G133" s="20"/>
      <c r="H133" s="20"/>
      <c r="I133" s="20"/>
      <c r="J133" s="265"/>
      <c r="P133" s="499"/>
    </row>
    <row r="134" spans="1:16" s="198" customFormat="1" ht="23.25" customHeight="1" x14ac:dyDescent="0.3">
      <c r="A134" s="712" t="s">
        <v>239</v>
      </c>
      <c r="B134" s="713"/>
      <c r="C134" s="713"/>
      <c r="D134" s="713"/>
      <c r="E134" s="713"/>
      <c r="F134" s="713"/>
      <c r="G134" s="713"/>
      <c r="H134" s="713"/>
      <c r="I134" s="713"/>
      <c r="J134" s="714"/>
      <c r="K134" s="195"/>
      <c r="L134" s="196"/>
      <c r="M134" s="197"/>
      <c r="P134" s="499"/>
    </row>
    <row r="135" spans="1:16" ht="42" hidden="1" customHeight="1" x14ac:dyDescent="0.25">
      <c r="A135" s="321" t="s">
        <v>230</v>
      </c>
      <c r="B135" s="701" t="s">
        <v>232</v>
      </c>
      <c r="C135" s="701"/>
      <c r="D135" s="701" t="s">
        <v>229</v>
      </c>
      <c r="E135" s="701"/>
      <c r="F135" s="156"/>
      <c r="G135" s="156"/>
      <c r="H135" s="181" t="s">
        <v>226</v>
      </c>
      <c r="I135" s="322"/>
      <c r="J135" s="323"/>
      <c r="P135" s="499"/>
    </row>
    <row r="136" spans="1:16" hidden="1" x14ac:dyDescent="0.25">
      <c r="A136" s="324"/>
      <c r="B136" s="20"/>
      <c r="C136" s="158"/>
      <c r="D136" s="176"/>
      <c r="E136" s="176"/>
      <c r="F136" s="20"/>
      <c r="G136" s="20"/>
      <c r="H136" s="181"/>
      <c r="I136" s="322"/>
      <c r="J136" s="323"/>
      <c r="P136" s="499"/>
    </row>
    <row r="137" spans="1:16" hidden="1" x14ac:dyDescent="0.25">
      <c r="A137" s="325" t="s">
        <v>191</v>
      </c>
      <c r="B137" s="156"/>
      <c r="C137" s="157"/>
      <c r="D137" s="155" t="s">
        <v>194</v>
      </c>
      <c r="E137" s="155"/>
      <c r="F137" s="156"/>
      <c r="G137" s="156"/>
      <c r="H137" s="182">
        <f t="shared" ref="H137:H142" si="1">LEN(D137)</f>
        <v>11</v>
      </c>
      <c r="I137" s="322"/>
      <c r="J137" s="323"/>
      <c r="P137" s="499"/>
    </row>
    <row r="138" spans="1:16" hidden="1" x14ac:dyDescent="0.25">
      <c r="A138" s="325" t="s">
        <v>206</v>
      </c>
      <c r="B138" s="156"/>
      <c r="C138" s="157"/>
      <c r="D138" s="155" t="s">
        <v>209</v>
      </c>
      <c r="E138" s="155"/>
      <c r="F138" s="156"/>
      <c r="G138" s="156"/>
      <c r="H138" s="182">
        <f t="shared" si="1"/>
        <v>15</v>
      </c>
      <c r="I138" s="322"/>
      <c r="J138" s="323"/>
      <c r="P138" s="499"/>
    </row>
    <row r="139" spans="1:16" hidden="1" x14ac:dyDescent="0.25">
      <c r="A139" s="325" t="s">
        <v>193</v>
      </c>
      <c r="B139" s="156"/>
      <c r="C139" s="157"/>
      <c r="D139" s="155" t="s">
        <v>195</v>
      </c>
      <c r="E139" s="155"/>
      <c r="F139" s="156"/>
      <c r="G139" s="156"/>
      <c r="H139" s="182">
        <f t="shared" si="1"/>
        <v>11</v>
      </c>
      <c r="I139" s="322"/>
      <c r="J139" s="323"/>
      <c r="P139" s="499"/>
    </row>
    <row r="140" spans="1:16" hidden="1" x14ac:dyDescent="0.25">
      <c r="A140" s="325" t="s">
        <v>212</v>
      </c>
      <c r="B140" s="156"/>
      <c r="C140" s="157"/>
      <c r="D140" s="155" t="s">
        <v>35</v>
      </c>
      <c r="E140" s="155"/>
      <c r="F140" s="156"/>
      <c r="G140" s="156"/>
      <c r="H140" s="182">
        <f t="shared" si="1"/>
        <v>20</v>
      </c>
      <c r="I140" s="322"/>
      <c r="J140" s="323"/>
      <c r="P140" s="499"/>
    </row>
    <row r="141" spans="1:16" hidden="1" x14ac:dyDescent="0.25">
      <c r="A141" s="325" t="s">
        <v>213</v>
      </c>
      <c r="B141" s="156"/>
      <c r="C141" s="157"/>
      <c r="D141" s="155" t="s">
        <v>36</v>
      </c>
      <c r="E141" s="155"/>
      <c r="F141" s="156"/>
      <c r="G141" s="156"/>
      <c r="H141" s="182">
        <f t="shared" si="1"/>
        <v>28</v>
      </c>
      <c r="I141" s="322"/>
      <c r="J141" s="323"/>
      <c r="P141" s="499"/>
    </row>
    <row r="142" spans="1:16" hidden="1" x14ac:dyDescent="0.25">
      <c r="A142" s="325" t="s">
        <v>33</v>
      </c>
      <c r="B142" s="156"/>
      <c r="C142" s="157"/>
      <c r="D142" s="155" t="s">
        <v>37</v>
      </c>
      <c r="E142" s="155"/>
      <c r="F142" s="156"/>
      <c r="G142" s="156"/>
      <c r="H142" s="182">
        <f t="shared" si="1"/>
        <v>29</v>
      </c>
      <c r="I142" s="322"/>
      <c r="J142" s="323"/>
      <c r="P142" s="499"/>
    </row>
    <row r="143" spans="1:16" hidden="1" x14ac:dyDescent="0.25">
      <c r="A143" s="325" t="s">
        <v>214</v>
      </c>
      <c r="B143" s="156"/>
      <c r="C143" s="157"/>
      <c r="D143" s="155" t="s">
        <v>38</v>
      </c>
      <c r="E143" s="155"/>
      <c r="F143" s="156"/>
      <c r="G143" s="156"/>
      <c r="H143" s="182">
        <f t="shared" ref="H143:H169" si="2">LEN(D143)</f>
        <v>21</v>
      </c>
      <c r="I143" s="322"/>
      <c r="J143" s="323"/>
      <c r="P143" s="499"/>
    </row>
    <row r="144" spans="1:16" hidden="1" x14ac:dyDescent="0.25">
      <c r="A144" s="325" t="s">
        <v>215</v>
      </c>
      <c r="B144" s="156"/>
      <c r="C144" s="157"/>
      <c r="D144" s="155" t="s">
        <v>39</v>
      </c>
      <c r="E144" s="157"/>
      <c r="F144" s="156"/>
      <c r="G144" s="156"/>
      <c r="H144" s="182">
        <f t="shared" si="2"/>
        <v>15</v>
      </c>
      <c r="I144" s="322"/>
      <c r="J144" s="323"/>
      <c r="P144" s="499"/>
    </row>
    <row r="145" spans="1:16" hidden="1" x14ac:dyDescent="0.25">
      <c r="A145" s="325" t="s">
        <v>202</v>
      </c>
      <c r="B145" s="156"/>
      <c r="C145" s="157"/>
      <c r="D145" s="155" t="s">
        <v>203</v>
      </c>
      <c r="E145" s="157"/>
      <c r="F145" s="156"/>
      <c r="G145" s="156"/>
      <c r="H145" s="182">
        <f t="shared" si="2"/>
        <v>8</v>
      </c>
      <c r="I145" s="322"/>
      <c r="J145" s="323"/>
      <c r="P145" s="499"/>
    </row>
    <row r="146" spans="1:16" hidden="1" x14ac:dyDescent="0.25">
      <c r="A146" s="325" t="s">
        <v>34</v>
      </c>
      <c r="B146" s="156"/>
      <c r="C146" s="156"/>
      <c r="D146" s="155" t="s">
        <v>40</v>
      </c>
      <c r="E146" s="157"/>
      <c r="F146" s="156"/>
      <c r="G146" s="156"/>
      <c r="H146" s="182">
        <f t="shared" si="2"/>
        <v>13</v>
      </c>
      <c r="I146" s="322"/>
      <c r="J146" s="323"/>
      <c r="P146" s="499"/>
    </row>
    <row r="147" spans="1:16" hidden="1" x14ac:dyDescent="0.25">
      <c r="A147" s="325" t="s">
        <v>222</v>
      </c>
      <c r="B147" s="156"/>
      <c r="C147" s="156"/>
      <c r="D147" s="155" t="s">
        <v>41</v>
      </c>
      <c r="E147" s="157"/>
      <c r="F147" s="156"/>
      <c r="G147" s="156"/>
      <c r="H147" s="182">
        <f t="shared" si="2"/>
        <v>9</v>
      </c>
      <c r="I147" s="322"/>
      <c r="J147" s="323"/>
      <c r="P147" s="499"/>
    </row>
    <row r="148" spans="1:16" hidden="1" x14ac:dyDescent="0.25">
      <c r="A148" s="325" t="s">
        <v>216</v>
      </c>
      <c r="B148" s="156"/>
      <c r="C148" s="156"/>
      <c r="D148" s="155" t="s">
        <v>42</v>
      </c>
      <c r="E148" s="157"/>
      <c r="F148" s="156"/>
      <c r="G148" s="156"/>
      <c r="H148" s="182">
        <f t="shared" si="2"/>
        <v>25</v>
      </c>
      <c r="I148" s="322"/>
      <c r="J148" s="323"/>
      <c r="P148" s="499"/>
    </row>
    <row r="149" spans="1:16" hidden="1" x14ac:dyDescent="0.25">
      <c r="A149" s="325" t="s">
        <v>207</v>
      </c>
      <c r="B149" s="156"/>
      <c r="C149" s="156" t="s">
        <v>231</v>
      </c>
      <c r="D149" s="155" t="s">
        <v>208</v>
      </c>
      <c r="E149" s="157"/>
      <c r="F149" s="156"/>
      <c r="G149" s="156"/>
      <c r="H149" s="182">
        <f t="shared" si="2"/>
        <v>8</v>
      </c>
      <c r="I149" s="322"/>
      <c r="J149" s="323"/>
      <c r="P149" s="499"/>
    </row>
    <row r="150" spans="1:16" hidden="1" x14ac:dyDescent="0.25">
      <c r="A150" s="325" t="s">
        <v>217</v>
      </c>
      <c r="B150" s="156"/>
      <c r="C150" s="156"/>
      <c r="D150" s="155" t="s">
        <v>44</v>
      </c>
      <c r="E150" s="157"/>
      <c r="F150" s="156"/>
      <c r="G150" s="156"/>
      <c r="H150" s="182">
        <f t="shared" si="2"/>
        <v>25</v>
      </c>
      <c r="I150" s="322"/>
      <c r="J150" s="323"/>
      <c r="P150" s="499"/>
    </row>
    <row r="151" spans="1:16" hidden="1" x14ac:dyDescent="0.25">
      <c r="A151" s="325" t="s">
        <v>218</v>
      </c>
      <c r="B151" s="156"/>
      <c r="C151" s="156"/>
      <c r="D151" s="155" t="s">
        <v>43</v>
      </c>
      <c r="E151" s="157"/>
      <c r="F151" s="156"/>
      <c r="G151" s="156"/>
      <c r="H151" s="182">
        <f t="shared" si="2"/>
        <v>21</v>
      </c>
      <c r="I151" s="322"/>
      <c r="J151" s="323"/>
      <c r="P151" s="499"/>
    </row>
    <row r="152" spans="1:16" hidden="1" x14ac:dyDescent="0.25">
      <c r="A152" s="325" t="s">
        <v>219</v>
      </c>
      <c r="B152" s="156"/>
      <c r="C152" s="156"/>
      <c r="D152" s="155" t="s">
        <v>45</v>
      </c>
      <c r="E152" s="155"/>
      <c r="F152" s="156"/>
      <c r="G152" s="156"/>
      <c r="H152" s="182">
        <f t="shared" si="2"/>
        <v>18</v>
      </c>
      <c r="I152" s="322"/>
      <c r="J152" s="323"/>
      <c r="P152" s="499"/>
    </row>
    <row r="153" spans="1:16" hidden="1" x14ac:dyDescent="0.25">
      <c r="A153" s="325" t="s">
        <v>198</v>
      </c>
      <c r="B153" s="156"/>
      <c r="C153" s="156" t="s">
        <v>231</v>
      </c>
      <c r="D153" s="155" t="s">
        <v>199</v>
      </c>
      <c r="E153" s="157"/>
      <c r="F153" s="156"/>
      <c r="G153" s="156"/>
      <c r="H153" s="182">
        <f t="shared" si="2"/>
        <v>13</v>
      </c>
      <c r="I153" s="322"/>
      <c r="J153" s="323"/>
      <c r="P153" s="499"/>
    </row>
    <row r="154" spans="1:16" hidden="1" x14ac:dyDescent="0.25">
      <c r="A154" s="325" t="s">
        <v>227</v>
      </c>
      <c r="B154" s="156"/>
      <c r="C154" s="156" t="s">
        <v>231</v>
      </c>
      <c r="D154" s="155" t="s">
        <v>228</v>
      </c>
      <c r="E154" s="157"/>
      <c r="F154" s="156"/>
      <c r="G154" s="156"/>
      <c r="H154" s="182">
        <f t="shared" si="2"/>
        <v>27</v>
      </c>
      <c r="I154" s="322"/>
      <c r="J154" s="323"/>
      <c r="P154" s="499"/>
    </row>
    <row r="155" spans="1:16" hidden="1" x14ac:dyDescent="0.25">
      <c r="A155" s="325" t="s">
        <v>204</v>
      </c>
      <c r="B155" s="156"/>
      <c r="C155" s="156"/>
      <c r="D155" s="155" t="s">
        <v>205</v>
      </c>
      <c r="E155" s="157"/>
      <c r="F155" s="156"/>
      <c r="G155" s="156"/>
      <c r="H155" s="182">
        <f t="shared" si="2"/>
        <v>9</v>
      </c>
      <c r="I155" s="322"/>
      <c r="J155" s="323"/>
      <c r="P155" s="499"/>
    </row>
    <row r="156" spans="1:16" hidden="1" x14ac:dyDescent="0.25">
      <c r="A156" s="325" t="s">
        <v>210</v>
      </c>
      <c r="B156" s="156"/>
      <c r="C156" s="156"/>
      <c r="D156" s="155" t="s">
        <v>211</v>
      </c>
      <c r="E156" s="157"/>
      <c r="F156" s="156"/>
      <c r="G156" s="156"/>
      <c r="H156" s="182">
        <f t="shared" si="2"/>
        <v>28</v>
      </c>
      <c r="I156" s="322"/>
      <c r="J156" s="323"/>
      <c r="P156" s="499"/>
    </row>
    <row r="157" spans="1:16" hidden="1" x14ac:dyDescent="0.25">
      <c r="A157" s="325" t="s">
        <v>200</v>
      </c>
      <c r="B157" s="156"/>
      <c r="C157" s="156"/>
      <c r="D157" s="155" t="s">
        <v>201</v>
      </c>
      <c r="E157" s="157"/>
      <c r="F157" s="156"/>
      <c r="G157" s="156"/>
      <c r="H157" s="182">
        <f t="shared" si="2"/>
        <v>20</v>
      </c>
      <c r="I157" s="322"/>
      <c r="J157" s="323"/>
      <c r="P157" s="499"/>
    </row>
    <row r="158" spans="1:16" hidden="1" x14ac:dyDescent="0.25">
      <c r="A158" s="325" t="s">
        <v>192</v>
      </c>
      <c r="B158" s="156"/>
      <c r="C158" s="156"/>
      <c r="D158" s="155" t="s">
        <v>196</v>
      </c>
      <c r="E158" s="157"/>
      <c r="F158" s="156"/>
      <c r="G158" s="156"/>
      <c r="H158" s="182">
        <f t="shared" si="2"/>
        <v>20</v>
      </c>
      <c r="I158" s="322"/>
      <c r="J158" s="323"/>
      <c r="P158" s="499"/>
    </row>
    <row r="159" spans="1:16" hidden="1" x14ac:dyDescent="0.25">
      <c r="A159" s="325" t="s">
        <v>31</v>
      </c>
      <c r="B159" s="156"/>
      <c r="C159" s="156" t="s">
        <v>231</v>
      </c>
      <c r="D159" s="155" t="s">
        <v>46</v>
      </c>
      <c r="E159" s="157"/>
      <c r="F159" s="156"/>
      <c r="G159" s="156"/>
      <c r="H159" s="182">
        <f t="shared" si="2"/>
        <v>7</v>
      </c>
      <c r="I159" s="322"/>
      <c r="J159" s="323"/>
      <c r="P159" s="499"/>
    </row>
    <row r="160" spans="1:16" hidden="1" x14ac:dyDescent="0.25">
      <c r="A160" s="325" t="s">
        <v>220</v>
      </c>
      <c r="B160" s="156"/>
      <c r="C160" s="156" t="s">
        <v>231</v>
      </c>
      <c r="D160" s="155" t="s">
        <v>47</v>
      </c>
      <c r="E160" s="157"/>
      <c r="F160" s="156"/>
      <c r="G160" s="156"/>
      <c r="H160" s="182">
        <f t="shared" si="2"/>
        <v>21</v>
      </c>
      <c r="I160" s="322"/>
      <c r="J160" s="323"/>
      <c r="P160" s="499"/>
    </row>
    <row r="161" spans="1:16" hidden="1" x14ac:dyDescent="0.25">
      <c r="A161" s="325" t="s">
        <v>190</v>
      </c>
      <c r="B161" s="156"/>
      <c r="C161" s="156" t="s">
        <v>231</v>
      </c>
      <c r="D161" s="155" t="s">
        <v>197</v>
      </c>
      <c r="E161" s="157"/>
      <c r="F161" s="156"/>
      <c r="G161" s="156"/>
      <c r="H161" s="182">
        <f t="shared" si="2"/>
        <v>7</v>
      </c>
      <c r="I161" s="322"/>
      <c r="J161" s="323"/>
      <c r="P161" s="499"/>
    </row>
    <row r="162" spans="1:16" hidden="1" x14ac:dyDescent="0.25">
      <c r="A162" s="325" t="s">
        <v>32</v>
      </c>
      <c r="B162" s="156"/>
      <c r="C162" s="156"/>
      <c r="D162" s="155" t="s">
        <v>48</v>
      </c>
      <c r="E162" s="157"/>
      <c r="F162" s="156"/>
      <c r="G162" s="156"/>
      <c r="H162" s="182">
        <f t="shared" si="2"/>
        <v>19</v>
      </c>
      <c r="I162" s="322"/>
      <c r="J162" s="323"/>
      <c r="P162" s="499"/>
    </row>
    <row r="163" spans="1:16" hidden="1" x14ac:dyDescent="0.25">
      <c r="A163" s="325" t="s">
        <v>221</v>
      </c>
      <c r="B163" s="156"/>
      <c r="C163" s="156"/>
      <c r="D163" s="155" t="s">
        <v>49</v>
      </c>
      <c r="E163" s="157"/>
      <c r="F163" s="156"/>
      <c r="G163" s="156"/>
      <c r="H163" s="182">
        <f t="shared" si="2"/>
        <v>16</v>
      </c>
      <c r="I163" s="322"/>
      <c r="J163" s="323"/>
      <c r="P163" s="499"/>
    </row>
    <row r="164" spans="1:16" hidden="1" x14ac:dyDescent="0.25">
      <c r="A164" s="325"/>
      <c r="B164" s="156"/>
      <c r="C164" s="156"/>
      <c r="D164" s="155"/>
      <c r="E164" s="157"/>
      <c r="F164" s="156"/>
      <c r="G164" s="156"/>
      <c r="H164" s="182">
        <f t="shared" si="2"/>
        <v>0</v>
      </c>
      <c r="I164" s="322"/>
      <c r="J164" s="323"/>
      <c r="P164" s="499"/>
    </row>
    <row r="165" spans="1:16" hidden="1" x14ac:dyDescent="0.25">
      <c r="A165" s="325"/>
      <c r="B165" s="156"/>
      <c r="C165" s="156"/>
      <c r="D165" s="155"/>
      <c r="E165" s="157"/>
      <c r="F165" s="156"/>
      <c r="G165" s="156"/>
      <c r="H165" s="182">
        <f t="shared" si="2"/>
        <v>0</v>
      </c>
      <c r="I165" s="322"/>
      <c r="J165" s="323"/>
      <c r="P165" s="499"/>
    </row>
    <row r="166" spans="1:16" hidden="1" x14ac:dyDescent="0.25">
      <c r="A166" s="325"/>
      <c r="B166" s="156"/>
      <c r="C166" s="156"/>
      <c r="D166" s="155"/>
      <c r="E166" s="157"/>
      <c r="F166" s="156"/>
      <c r="G166" s="156"/>
      <c r="H166" s="182">
        <f t="shared" si="2"/>
        <v>0</v>
      </c>
      <c r="I166" s="322"/>
      <c r="J166" s="323"/>
      <c r="P166" s="499"/>
    </row>
    <row r="167" spans="1:16" hidden="1" x14ac:dyDescent="0.25">
      <c r="A167" s="325"/>
      <c r="B167" s="156"/>
      <c r="C167" s="156"/>
      <c r="D167" s="155"/>
      <c r="E167" s="157"/>
      <c r="F167" s="156"/>
      <c r="G167" s="156"/>
      <c r="H167" s="182">
        <f t="shared" si="2"/>
        <v>0</v>
      </c>
      <c r="I167" s="322"/>
      <c r="J167" s="323"/>
      <c r="P167" s="499"/>
    </row>
    <row r="168" spans="1:16" hidden="1" x14ac:dyDescent="0.25">
      <c r="A168" s="325"/>
      <c r="B168" s="156"/>
      <c r="C168" s="156"/>
      <c r="D168" s="155"/>
      <c r="E168" s="157"/>
      <c r="F168" s="156"/>
      <c r="G168" s="156"/>
      <c r="H168" s="182">
        <f t="shared" si="2"/>
        <v>0</v>
      </c>
      <c r="I168" s="322"/>
      <c r="J168" s="323"/>
      <c r="P168" s="499"/>
    </row>
    <row r="169" spans="1:16" hidden="1" x14ac:dyDescent="0.25">
      <c r="A169" s="326"/>
      <c r="B169" s="156"/>
      <c r="C169" s="156"/>
      <c r="D169" s="157"/>
      <c r="E169" s="156"/>
      <c r="F169" s="156"/>
      <c r="G169" s="156"/>
      <c r="H169" s="182">
        <f t="shared" si="2"/>
        <v>0</v>
      </c>
      <c r="I169" s="322"/>
      <c r="J169" s="323"/>
      <c r="P169" s="499"/>
    </row>
    <row r="170" spans="1:16" hidden="1" x14ac:dyDescent="0.25">
      <c r="A170" s="280"/>
      <c r="B170" s="20"/>
      <c r="C170" s="20"/>
      <c r="D170" s="20"/>
      <c r="E170" s="20"/>
      <c r="F170" s="20"/>
      <c r="G170" s="20"/>
      <c r="H170" s="20"/>
      <c r="I170" s="20"/>
      <c r="J170" s="265"/>
      <c r="P170" s="499"/>
    </row>
    <row r="171" spans="1:16" ht="6" customHeight="1" x14ac:dyDescent="0.25">
      <c r="A171" s="280"/>
      <c r="B171" s="20"/>
      <c r="C171" s="20"/>
      <c r="D171" s="20"/>
      <c r="E171" s="20"/>
      <c r="F171" s="20"/>
      <c r="G171" s="20"/>
      <c r="H171" s="20"/>
      <c r="I171" s="20"/>
      <c r="J171" s="265"/>
      <c r="P171" s="499"/>
    </row>
    <row r="172" spans="1:16" s="198" customFormat="1" ht="28.5" customHeight="1" x14ac:dyDescent="0.3">
      <c r="A172" s="712" t="s">
        <v>240</v>
      </c>
      <c r="B172" s="713"/>
      <c r="C172" s="713"/>
      <c r="D172" s="713"/>
      <c r="E172" s="713"/>
      <c r="F172" s="713"/>
      <c r="G172" s="713"/>
      <c r="H172" s="713"/>
      <c r="I172" s="713"/>
      <c r="J172" s="714"/>
      <c r="K172" s="249"/>
      <c r="L172" s="249"/>
      <c r="M172" s="249"/>
      <c r="N172" s="249"/>
      <c r="P172" s="499"/>
    </row>
    <row r="173" spans="1:16" ht="3" customHeight="1" x14ac:dyDescent="0.25">
      <c r="A173" s="280"/>
      <c r="B173" s="20"/>
      <c r="C173" s="20"/>
      <c r="D173" s="20"/>
      <c r="E173" s="20"/>
      <c r="F173" s="20"/>
      <c r="G173" s="20"/>
      <c r="H173" s="20"/>
      <c r="I173" s="20"/>
      <c r="J173" s="265"/>
      <c r="K173" s="266"/>
      <c r="P173" s="499"/>
    </row>
    <row r="174" spans="1:16" ht="20.25" customHeight="1" x14ac:dyDescent="0.25">
      <c r="A174" s="732" t="s">
        <v>328</v>
      </c>
      <c r="B174" s="733"/>
      <c r="C174" s="733"/>
      <c r="D174" s="733"/>
      <c r="E174" s="733"/>
      <c r="F174" s="733"/>
      <c r="G174" s="733"/>
      <c r="H174" s="733"/>
      <c r="I174" s="733"/>
      <c r="J174" s="265"/>
      <c r="K174" s="266"/>
      <c r="L174" s="151" t="s">
        <v>492</v>
      </c>
      <c r="P174" s="499"/>
    </row>
    <row r="175" spans="1:16" s="299" customFormat="1" ht="13.5" customHeight="1" x14ac:dyDescent="0.25">
      <c r="A175" s="730" t="s">
        <v>329</v>
      </c>
      <c r="B175" s="731"/>
      <c r="C175" s="731"/>
      <c r="D175" s="294">
        <v>16</v>
      </c>
      <c r="E175" s="20" t="s">
        <v>500</v>
      </c>
      <c r="F175" s="295"/>
      <c r="G175" s="295"/>
      <c r="H175" s="295"/>
      <c r="I175" s="295"/>
      <c r="J175" s="296"/>
      <c r="K175" s="20"/>
      <c r="L175" s="297"/>
      <c r="M175" s="298"/>
      <c r="P175" s="499"/>
    </row>
    <row r="176" spans="1:16" s="299" customFormat="1" ht="12.75" customHeight="1" x14ac:dyDescent="0.25">
      <c r="A176" s="722" t="s">
        <v>583</v>
      </c>
      <c r="B176" s="723"/>
      <c r="C176" s="723"/>
      <c r="D176" s="723"/>
      <c r="E176" s="723"/>
      <c r="F176" s="723"/>
      <c r="G176" s="723"/>
      <c r="H176" s="723"/>
      <c r="I176" s="723"/>
      <c r="J176" s="724"/>
      <c r="K176" s="301" t="s">
        <v>330</v>
      </c>
      <c r="L176" s="297"/>
      <c r="M176" s="298"/>
      <c r="P176" s="499"/>
    </row>
    <row r="177" spans="1:16" s="299" customFormat="1" ht="13.8" thickBot="1" x14ac:dyDescent="0.3">
      <c r="A177" s="725"/>
      <c r="B177" s="726"/>
      <c r="C177" s="726"/>
      <c r="D177" s="726"/>
      <c r="E177" s="726"/>
      <c r="F177" s="726"/>
      <c r="G177" s="726"/>
      <c r="H177" s="726"/>
      <c r="I177" s="726"/>
      <c r="J177" s="727"/>
      <c r="K177" s="295"/>
      <c r="L177" s="302" t="str">
        <f>IF(AND(ЭЗ!F435=0,ЭЗ!F446=0,G397&lt;&gt;100,вывод1="да"),_72ч,"")</f>
        <v/>
      </c>
      <c r="M177" s="298"/>
      <c r="P177" s="499"/>
    </row>
    <row r="178" spans="1:16" s="299" customFormat="1" ht="9.75" customHeight="1" thickBot="1" x14ac:dyDescent="0.3">
      <c r="A178" s="303"/>
      <c r="B178" s="304"/>
      <c r="C178" s="304"/>
      <c r="D178" s="304"/>
      <c r="E178" s="304"/>
      <c r="F178" s="304"/>
      <c r="G178" s="304"/>
      <c r="H178" s="304"/>
      <c r="I178" s="304"/>
      <c r="J178" s="300"/>
      <c r="K178" s="543" t="s">
        <v>331</v>
      </c>
      <c r="L178" s="544" t="str">
        <f>IF(рек_общ="",рез_2&amp;рез_3,IF(рез_2="",рек_общ&amp;рез_3,рез_2&amp;рез_3))</f>
        <v/>
      </c>
      <c r="P178" s="499"/>
    </row>
    <row r="179" spans="1:16" s="299" customFormat="1" ht="63.75" customHeight="1" x14ac:dyDescent="0.25">
      <c r="A179" s="720" t="s">
        <v>338</v>
      </c>
      <c r="B179" s="721"/>
      <c r="C179" s="721"/>
      <c r="D179" s="721"/>
      <c r="E179" s="721"/>
      <c r="F179" s="721"/>
      <c r="G179" s="721"/>
      <c r="H179" s="721"/>
      <c r="I179" s="721"/>
      <c r="J179" s="296"/>
      <c r="K179" s="305" t="s">
        <v>332</v>
      </c>
      <c r="L179" s="151" t="s">
        <v>333</v>
      </c>
      <c r="M179" s="298"/>
      <c r="P179" s="499"/>
    </row>
    <row r="180" spans="1:16" ht="25.5" customHeight="1" x14ac:dyDescent="0.25">
      <c r="A180" s="717" t="s">
        <v>337</v>
      </c>
      <c r="B180" s="718"/>
      <c r="C180" s="718"/>
      <c r="D180" s="718"/>
      <c r="E180" s="718"/>
      <c r="F180" s="718"/>
      <c r="G180" s="718"/>
      <c r="H180" s="718"/>
      <c r="I180" s="719"/>
      <c r="J180" s="300"/>
      <c r="K180" s="268" t="str">
        <f>IF(рек2="нет",_дпо,"")</f>
        <v xml:space="preserve">Получить  дополнительное профессиональное образование по направлению подготовки "Образование и педагогика". </v>
      </c>
      <c r="P180" s="499"/>
    </row>
    <row r="181" spans="1:16" ht="24" hidden="1" customHeight="1" x14ac:dyDescent="0.25">
      <c r="A181" s="293" t="s">
        <v>339</v>
      </c>
      <c r="B181" s="304"/>
      <c r="C181" s="304"/>
      <c r="D181" s="304"/>
      <c r="E181" s="304"/>
      <c r="F181" s="304"/>
      <c r="G181" s="304"/>
      <c r="H181" s="304"/>
      <c r="I181" s="304"/>
      <c r="J181" s="265"/>
      <c r="K181" s="305" t="s">
        <v>334</v>
      </c>
      <c r="P181" s="499"/>
    </row>
    <row r="182" spans="1:16" ht="23.25" hidden="1" customHeight="1" x14ac:dyDescent="0.25">
      <c r="A182" s="717" t="s">
        <v>339</v>
      </c>
      <c r="B182" s="718"/>
      <c r="C182" s="718"/>
      <c r="D182" s="718"/>
      <c r="E182" s="718"/>
      <c r="F182" s="718"/>
      <c r="G182" s="718"/>
      <c r="H182" s="718"/>
      <c r="I182" s="719"/>
      <c r="J182" s="300"/>
      <c r="K182" s="266"/>
      <c r="P182" s="499"/>
    </row>
    <row r="183" spans="1:16" ht="10.5" customHeight="1" x14ac:dyDescent="0.25">
      <c r="A183" s="290"/>
      <c r="B183" s="291"/>
      <c r="C183" s="291"/>
      <c r="D183" s="291"/>
      <c r="E183" s="291"/>
      <c r="F183" s="291"/>
      <c r="G183" s="291"/>
      <c r="H183" s="291"/>
      <c r="I183" s="291"/>
      <c r="J183" s="292"/>
      <c r="K183" s="266"/>
      <c r="P183" s="499"/>
    </row>
    <row r="184" spans="1:16" ht="15.6" hidden="1" x14ac:dyDescent="0.3">
      <c r="A184" s="280"/>
      <c r="B184" s="306"/>
      <c r="C184" s="20"/>
      <c r="D184" s="20"/>
      <c r="E184" s="20"/>
      <c r="F184" s="20"/>
      <c r="G184" s="20"/>
      <c r="H184" s="20"/>
      <c r="I184" s="20"/>
      <c r="J184" s="265"/>
      <c r="K184" s="266"/>
      <c r="P184" s="499"/>
    </row>
    <row r="185" spans="1:16" hidden="1" x14ac:dyDescent="0.25">
      <c r="A185" s="290"/>
      <c r="B185" s="291"/>
      <c r="C185" s="291"/>
      <c r="D185" s="291"/>
      <c r="E185" s="291"/>
      <c r="F185" s="291"/>
      <c r="G185" s="291"/>
      <c r="H185" s="291"/>
      <c r="I185" s="291"/>
      <c r="J185" s="292"/>
      <c r="K185" s="266"/>
      <c r="P185" s="499"/>
    </row>
    <row r="186" spans="1:16" s="20" customFormat="1" ht="49.5" customHeight="1" x14ac:dyDescent="0.25">
      <c r="A186" s="728" t="s">
        <v>401</v>
      </c>
      <c r="B186" s="728"/>
      <c r="C186" s="728"/>
      <c r="D186" s="728"/>
      <c r="E186" s="728"/>
      <c r="F186" s="728"/>
      <c r="G186" s="728"/>
      <c r="H186" s="728"/>
      <c r="I186" s="728"/>
      <c r="J186" s="728"/>
      <c r="P186" s="499"/>
    </row>
    <row r="187" spans="1:16" ht="15.6" x14ac:dyDescent="0.3">
      <c r="A187" s="729" t="s">
        <v>403</v>
      </c>
      <c r="B187" s="715"/>
      <c r="C187" s="715"/>
      <c r="D187" s="715"/>
      <c r="E187" s="715"/>
      <c r="F187" s="715"/>
      <c r="G187" s="715"/>
      <c r="H187" s="715"/>
      <c r="I187" s="715"/>
      <c r="J187" s="715"/>
      <c r="K187" s="266"/>
      <c r="P187" s="499"/>
    </row>
    <row r="188" spans="1:16" ht="15.6" x14ac:dyDescent="0.3">
      <c r="A188" s="715" t="s">
        <v>402</v>
      </c>
      <c r="B188" s="715"/>
      <c r="C188" s="715"/>
      <c r="D188" s="715"/>
      <c r="E188" s="715"/>
      <c r="F188" s="715"/>
      <c r="G188" s="715"/>
      <c r="H188" s="715"/>
      <c r="I188" s="715"/>
      <c r="J188" s="715"/>
      <c r="K188" s="266"/>
      <c r="P188" s="499"/>
    </row>
    <row r="189" spans="1:16" ht="57" customHeight="1" x14ac:dyDescent="0.25">
      <c r="A189" s="716" t="s">
        <v>404</v>
      </c>
      <c r="B189" s="716"/>
      <c r="C189" s="716"/>
      <c r="D189" s="716"/>
      <c r="E189" s="716"/>
      <c r="F189" s="716"/>
      <c r="G189" s="716"/>
      <c r="H189" s="716"/>
      <c r="I189" s="716"/>
      <c r="J189" s="716"/>
      <c r="K189" s="266"/>
      <c r="P189" s="499"/>
    </row>
  </sheetData>
  <sheetProtection algorithmName="SHA-512" hashValue="xnGjtilRNR92kegLfH9BJ4Qgn9F7A3PNS11EL9yr60/LHL/DrvHfBWmq7k9yI2hOK0QixGAUP85MZqR79wW+UA==" saltValue="pIctV+o/zlEzoPWZ9WDyXA==" spinCount="100000" sheet="1" objects="1" scenarios="1"/>
  <mergeCells count="80">
    <mergeCell ref="A172:J172"/>
    <mergeCell ref="A188:J188"/>
    <mergeCell ref="A189:J189"/>
    <mergeCell ref="A180:I180"/>
    <mergeCell ref="A182:I182"/>
    <mergeCell ref="A179:I179"/>
    <mergeCell ref="A176:J177"/>
    <mergeCell ref="A186:J186"/>
    <mergeCell ref="A187:J187"/>
    <mergeCell ref="A175:C175"/>
    <mergeCell ref="A174:I174"/>
    <mergeCell ref="C98:I98"/>
    <mergeCell ref="A115:J116"/>
    <mergeCell ref="B135:C135"/>
    <mergeCell ref="C99:H99"/>
    <mergeCell ref="C100:I100"/>
    <mergeCell ref="C101:H101"/>
    <mergeCell ref="C102:I102"/>
    <mergeCell ref="C103:H103"/>
    <mergeCell ref="C104:I104"/>
    <mergeCell ref="A109:I109"/>
    <mergeCell ref="A112:J112"/>
    <mergeCell ref="A113:J113"/>
    <mergeCell ref="C105:H105"/>
    <mergeCell ref="A99:A100"/>
    <mergeCell ref="D135:E135"/>
    <mergeCell ref="A134:J134"/>
    <mergeCell ref="A94:I94"/>
    <mergeCell ref="A88:H89"/>
    <mergeCell ref="G77:H77"/>
    <mergeCell ref="G78:H78"/>
    <mergeCell ref="A80:J81"/>
    <mergeCell ref="A83:I83"/>
    <mergeCell ref="A85:H87"/>
    <mergeCell ref="A91:J91"/>
    <mergeCell ref="A92:J92"/>
    <mergeCell ref="C34:I34"/>
    <mergeCell ref="C36:I36"/>
    <mergeCell ref="A41:C41"/>
    <mergeCell ref="D41:E41"/>
    <mergeCell ref="A40:C40"/>
    <mergeCell ref="F41:H41"/>
    <mergeCell ref="C33:I33"/>
    <mergeCell ref="H4:J7"/>
    <mergeCell ref="A32:B32"/>
    <mergeCell ref="D27:F27"/>
    <mergeCell ref="A30:B30"/>
    <mergeCell ref="B4:C4"/>
    <mergeCell ref="C32:H32"/>
    <mergeCell ref="A27:C27"/>
    <mergeCell ref="A1:J2"/>
    <mergeCell ref="A25:B25"/>
    <mergeCell ref="C25:I25"/>
    <mergeCell ref="A29:B29"/>
    <mergeCell ref="C29:I30"/>
    <mergeCell ref="A3:J3"/>
    <mergeCell ref="H8:J11"/>
    <mergeCell ref="G12:J15"/>
    <mergeCell ref="A17:I17"/>
    <mergeCell ref="G27:I27"/>
    <mergeCell ref="B58:D58"/>
    <mergeCell ref="A64:C64"/>
    <mergeCell ref="E64:G64"/>
    <mergeCell ref="D43:E43"/>
    <mergeCell ref="A61:I61"/>
    <mergeCell ref="B56:J57"/>
    <mergeCell ref="G43:H43"/>
    <mergeCell ref="B45:E45"/>
    <mergeCell ref="A48:A49"/>
    <mergeCell ref="B48:J49"/>
    <mergeCell ref="B50:D50"/>
    <mergeCell ref="A52:A53"/>
    <mergeCell ref="B52:J53"/>
    <mergeCell ref="B54:D54"/>
    <mergeCell ref="A56:A57"/>
    <mergeCell ref="A71:E71"/>
    <mergeCell ref="A74:F75"/>
    <mergeCell ref="G74:H74"/>
    <mergeCell ref="G73:H73"/>
    <mergeCell ref="B66:J68"/>
  </mergeCells>
  <phoneticPr fontId="11" type="noConversion"/>
  <conditionalFormatting sqref="A115 A1">
    <cfRule type="cellIs" dxfId="32" priority="26" stopIfTrue="1" operator="equal">
      <formula>"Все данные введены. Перейдите на лист ЭЗ"</formula>
    </cfRule>
  </conditionalFormatting>
  <conditionalFormatting sqref="B102:I103">
    <cfRule type="expression" dxfId="31" priority="2" stopIfTrue="1">
      <formula>$F$96&lt;2</formula>
    </cfRule>
  </conditionalFormatting>
  <conditionalFormatting sqref="B104:I105">
    <cfRule type="expression" dxfId="30" priority="3" stopIfTrue="1">
      <formula>$F$96&lt;3</formula>
    </cfRule>
  </conditionalFormatting>
  <conditionalFormatting sqref="A182:I182">
    <cfRule type="expression" dxfId="29" priority="4" stopIfTrue="1">
      <formula>$A$182=""</formula>
    </cfRule>
  </conditionalFormatting>
  <conditionalFormatting sqref="I86">
    <cfRule type="expression" dxfId="28" priority="8" stopIfTrue="1">
      <formula>OR($G$73="да",$G$74="да")</formula>
    </cfRule>
  </conditionalFormatting>
  <conditionalFormatting sqref="J86">
    <cfRule type="expression" dxfId="27" priority="12" stopIfTrue="1">
      <formula>AND($G$73="нет",$G$74="нет")</formula>
    </cfRule>
  </conditionalFormatting>
  <conditionalFormatting sqref="A112:J112">
    <cfRule type="expression" dxfId="26" priority="41" stopIfTrue="1">
      <formula>NOT(ISERROR(SEARCH("не соотв",A112)))</formula>
    </cfRule>
  </conditionalFormatting>
  <conditionalFormatting sqref="A112:J112">
    <cfRule type="expression" dxfId="25" priority="42" stopIfTrue="1">
      <formula>SEARCH("не соот",$A$113)</formula>
    </cfRule>
  </conditionalFormatting>
  <conditionalFormatting sqref="C33">
    <cfRule type="expression" dxfId="24" priority="25" stopIfTrue="1">
      <formula>"$A$23=""-"""</formula>
    </cfRule>
  </conditionalFormatting>
  <conditionalFormatting sqref="I75">
    <cfRule type="expression" dxfId="23" priority="6" stopIfTrue="1">
      <formula>$G$74="нет"</formula>
    </cfRule>
  </conditionalFormatting>
  <conditionalFormatting sqref="I78">
    <cfRule type="expression" dxfId="22" priority="7" stopIfTrue="1">
      <formula>$G$78="нет"</formula>
    </cfRule>
  </conditionalFormatting>
  <conditionalFormatting sqref="J78">
    <cfRule type="expression" dxfId="21" priority="11" stopIfTrue="1">
      <formula>$G$78="нет"</formula>
    </cfRule>
  </conditionalFormatting>
  <conditionalFormatting sqref="F43:J43">
    <cfRule type="expression" dxfId="20" priority="58" stopIfTrue="1">
      <formula>$D$41&lt;&gt;"нет"</formula>
    </cfRule>
  </conditionalFormatting>
  <conditionalFormatting sqref="K69">
    <cfRule type="expression" dxfId="19" priority="59" stopIfTrue="1">
      <formula>$G$77="нет"</formula>
    </cfRule>
  </conditionalFormatting>
  <conditionalFormatting sqref="H71">
    <cfRule type="expression" dxfId="18" priority="60" stopIfTrue="1">
      <formula>$G$71&gt;0</formula>
    </cfRule>
  </conditionalFormatting>
  <conditionalFormatting sqref="E64:J64">
    <cfRule type="expression" dxfId="17" priority="61" stopIfTrue="1">
      <formula>$A$64=$N$69</formula>
    </cfRule>
  </conditionalFormatting>
  <conditionalFormatting sqref="B66:J68">
    <cfRule type="expression" dxfId="16" priority="62" stopIfTrue="1">
      <formula>$A$64=$N$69</formula>
    </cfRule>
  </conditionalFormatting>
  <dataValidations xWindow="702" yWindow="398" count="42"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4 C102 C100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7:J27">
      <formula1>$E$4:$E$15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textLength" errorStyle="warning" allowBlank="1" showInputMessage="1" showErrorMessage="1" errorTitle="Внимание! " error="Наименование слишком длинное _x000a__x000a_(есть только 2 строки)" prompt="Укажите полное наименование ОУ_x000a__x000a_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type="textLength" errorStyle="warning" allowBlank="1" showInputMessage="1" showErrorMessage="1" errorTitle="Внимание! " error="Наименование слишком длинное (есть только 3 строки)_x000a_Убедитесь, что наменование умещается на листе &quot;ЭЗ&quot;_x000a_В противном случае используйте сокращенное наименование ОУ" prompt="Укажите полное наименование ОУ_x000a__x000a_" sqref="C29:J30">
      <formula1>0</formula1>
      <formula2>180</formula2>
    </dataValidation>
    <dataValidation type="list" showInputMessage="1" showErrorMessage="1" sqref="G73:H74 G77:H78">
      <formula1>"нет, да"</formula1>
    </dataValidation>
    <dataValidation type="list" showInputMessage="1" showErrorMessage="1" errorTitle="Внимание!" error="Должности нет в списке!_x000a__x000a_Воспользуйтесь кнопкой справа" sqref="C32:H32">
      <formula1>"преподаватель, учитель"</formula1>
    </dataValidation>
    <dataValidation type="textLength" errorStyle="information" allowBlank="1" showInputMessage="1" showErrorMessage="1" errorTitle="Внимание!" error="Длина строки более 70 символов" promptTitle="!!! в ИМЕНИТЕЛЬНОМ падеже !!!" prompt="Специализация - не более 70 симв_x000a_Например, _x000a_теоретические дисциплины (сольфеджио) _x000a_или_x000a_класс &quot;фортепиано&quot;" sqref="C33:I33">
      <formula1>1</formula1>
      <formula2>70</formula2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list" showInputMessage="1" showErrorMessage="1" sqref="B45:E45">
      <formula1>$L$45:$N$45</formula1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900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K69">
      <formula1>2000+год-5</formula1>
      <formula2>2000+год</formula2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150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3" right="0.35433070866141736" top="0.62992125984251968" bottom="0.47244094488188981" header="0.31496062992125984" footer="0.31496062992125984"/>
  <pageSetup paperSize="9" scale="68" orientation="portrait" r:id="rId1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519"/>
  <sheetViews>
    <sheetView showGridLines="0" showRowColHeaders="0" showOutlineSymbols="0" topLeftCell="A142" zoomScaleNormal="100" zoomScaleSheetLayoutView="100" workbookViewId="0">
      <selection activeCell="G118" sqref="G118:H118"/>
    </sheetView>
  </sheetViews>
  <sheetFormatPr defaultColWidth="9.109375" defaultRowHeight="13.8" x14ac:dyDescent="0.25"/>
  <cols>
    <col min="1" max="1" width="5" style="7" customWidth="1"/>
    <col min="2" max="2" width="10.88671875" style="110" customWidth="1"/>
    <col min="3" max="3" width="12.44140625" style="110" customWidth="1"/>
    <col min="4" max="4" width="9.88671875" style="111" customWidth="1"/>
    <col min="5" max="5" width="9.44140625" style="111" customWidth="1"/>
    <col min="6" max="10" width="10.33203125" style="111" customWidth="1"/>
    <col min="11" max="11" width="0.88671875" style="3" customWidth="1"/>
    <col min="12" max="12" width="11.5546875" style="36" hidden="1" customWidth="1"/>
    <col min="13" max="13" width="5.6640625" style="36" hidden="1" customWidth="1"/>
    <col min="14" max="14" width="5.5546875" style="36" hidden="1" customWidth="1"/>
    <col min="15" max="15" width="16.33203125" style="139" hidden="1" customWidth="1"/>
    <col min="16" max="16" width="9.6640625" style="3" hidden="1" customWidth="1"/>
    <col min="17" max="17" width="13" style="3" hidden="1" customWidth="1"/>
    <col min="18" max="18" width="3.33203125" style="3" customWidth="1"/>
    <col min="19" max="19" width="13" style="3" customWidth="1"/>
    <col min="20" max="20" width="12" style="3" customWidth="1"/>
    <col min="21" max="16384" width="9.109375" style="3"/>
  </cols>
  <sheetData>
    <row r="1" spans="1:17" ht="15.6" x14ac:dyDescent="0.3">
      <c r="A1" s="599"/>
      <c r="B1" s="788" t="s">
        <v>565</v>
      </c>
      <c r="C1" s="788"/>
      <c r="D1" s="788"/>
      <c r="E1" s="788"/>
      <c r="F1" s="788" t="s">
        <v>566</v>
      </c>
      <c r="G1" s="788"/>
      <c r="H1" s="788"/>
      <c r="I1" s="788"/>
      <c r="J1" s="344"/>
      <c r="K1" s="353" t="str">
        <f>версия</f>
        <v xml:space="preserve">  ЭЗ - 2018 г.</v>
      </c>
      <c r="L1" s="352"/>
      <c r="Q1" s="353"/>
    </row>
    <row r="2" spans="1:17" ht="10.5" hidden="1" customHeight="1" x14ac:dyDescent="0.25">
      <c r="I2" s="10"/>
      <c r="J2" s="344"/>
      <c r="K2" s="353"/>
      <c r="L2" s="161"/>
      <c r="M2" s="162"/>
      <c r="N2" s="163"/>
      <c r="O2" s="163" t="s">
        <v>50</v>
      </c>
      <c r="P2" s="148" t="s">
        <v>51</v>
      </c>
      <c r="Q2" s="353"/>
    </row>
    <row r="3" spans="1:17" ht="10.5" hidden="1" customHeight="1" x14ac:dyDescent="0.25">
      <c r="I3" s="10"/>
      <c r="J3" s="344"/>
      <c r="K3" s="353"/>
      <c r="L3" s="366" t="str">
        <f>'общие сведения'!A137</f>
        <v>воспитатель</v>
      </c>
      <c r="M3" s="366"/>
      <c r="N3" s="366" t="str">
        <f>'общие сведения'!D137</f>
        <v>воспитателя</v>
      </c>
      <c r="O3" s="155"/>
      <c r="P3" s="40">
        <f>LEN(N3)</f>
        <v>11</v>
      </c>
      <c r="Q3" s="353"/>
    </row>
    <row r="4" spans="1:17" ht="10.5" hidden="1" customHeight="1" x14ac:dyDescent="0.25">
      <c r="I4" s="10"/>
      <c r="J4" s="344"/>
      <c r="K4" s="353"/>
      <c r="L4" s="366" t="str">
        <f>'общие сведения'!A138</f>
        <v>воспитатель группы продленного дня</v>
      </c>
      <c r="M4" s="366"/>
      <c r="N4" s="366" t="str">
        <f>'общие сведения'!D138</f>
        <v>воспитателя ГПД</v>
      </c>
      <c r="O4" s="155"/>
      <c r="P4" s="40">
        <f t="shared" ref="P4:P30" si="0">LEN(N4)</f>
        <v>15</v>
      </c>
      <c r="Q4" s="353"/>
    </row>
    <row r="5" spans="1:17" ht="10.5" hidden="1" customHeight="1" x14ac:dyDescent="0.25">
      <c r="I5" s="10"/>
      <c r="J5" s="344"/>
      <c r="K5" s="353"/>
      <c r="L5" s="366" t="str">
        <f>'общие сведения'!A139</f>
        <v>дефектолог</v>
      </c>
      <c r="M5" s="366"/>
      <c r="N5" s="366" t="str">
        <f>'общие сведения'!D139</f>
        <v>дефектолога</v>
      </c>
      <c r="O5" s="155"/>
      <c r="P5" s="40">
        <f t="shared" si="0"/>
        <v>11</v>
      </c>
      <c r="Q5" s="353"/>
    </row>
    <row r="6" spans="1:17" ht="10.5" hidden="1" customHeight="1" x14ac:dyDescent="0.25">
      <c r="I6" s="10"/>
      <c r="J6" s="344"/>
      <c r="K6" s="353"/>
      <c r="L6" s="366" t="str">
        <f>'общие сведения'!A140</f>
        <v>инструктор по труду</v>
      </c>
      <c r="M6" s="366"/>
      <c r="N6" s="366" t="str">
        <f>'общие сведения'!D140</f>
        <v>инструктора по труду</v>
      </c>
      <c r="O6" s="155"/>
      <c r="P6" s="40">
        <f t="shared" si="0"/>
        <v>20</v>
      </c>
      <c r="Q6" s="353"/>
    </row>
    <row r="7" spans="1:17" ht="10.5" hidden="1" customHeight="1" x14ac:dyDescent="0.25">
      <c r="I7" s="10"/>
      <c r="J7" s="344"/>
      <c r="K7" s="353"/>
      <c r="L7" s="366" t="str">
        <f>'общие сведения'!A141</f>
        <v>инструктор по физической культуре</v>
      </c>
      <c r="M7" s="366"/>
      <c r="N7" s="366" t="str">
        <f>'общие сведения'!D141</f>
        <v>инструктора по физ. культуре</v>
      </c>
      <c r="O7" s="155"/>
      <c r="P7" s="40">
        <f t="shared" si="0"/>
        <v>28</v>
      </c>
      <c r="Q7" s="353"/>
    </row>
    <row r="8" spans="1:17" ht="10.5" hidden="1" customHeight="1" x14ac:dyDescent="0.25">
      <c r="I8" s="10"/>
      <c r="J8" s="344"/>
      <c r="K8" s="353"/>
      <c r="L8" s="366" t="str">
        <f>'общие сведения'!A142</f>
        <v>инструктор по физическому воспитанию</v>
      </c>
      <c r="M8" s="366"/>
      <c r="N8" s="366" t="str">
        <f>'общие сведения'!D142</f>
        <v>инструктора по физ.воспитанию</v>
      </c>
      <c r="O8" s="155"/>
      <c r="P8" s="40">
        <f t="shared" si="0"/>
        <v>29</v>
      </c>
      <c r="Q8" s="353"/>
    </row>
    <row r="9" spans="1:17" ht="10.5" hidden="1" customHeight="1" x14ac:dyDescent="0.25">
      <c r="I9" s="10"/>
      <c r="J9" s="344"/>
      <c r="K9" s="353"/>
      <c r="L9" s="366" t="str">
        <f>'общие сведения'!A143</f>
        <v>инструктор-методист</v>
      </c>
      <c r="M9" s="366"/>
      <c r="N9" s="366" t="str">
        <f>'общие сведения'!D143</f>
        <v>инструктора-методиста</v>
      </c>
      <c r="O9" s="155"/>
      <c r="P9" s="40">
        <f t="shared" si="0"/>
        <v>21</v>
      </c>
      <c r="Q9" s="353"/>
    </row>
    <row r="10" spans="1:17" ht="10.5" hidden="1" customHeight="1" x14ac:dyDescent="0.25">
      <c r="I10" s="10"/>
      <c r="J10" s="344"/>
      <c r="K10" s="353"/>
      <c r="L10" s="366" t="str">
        <f>'общие сведения'!A144</f>
        <v>концертмейстер</v>
      </c>
      <c r="M10" s="366"/>
      <c r="N10" s="366" t="str">
        <f>'общие сведения'!D144</f>
        <v>концертмейстера</v>
      </c>
      <c r="O10" s="155"/>
      <c r="P10" s="40">
        <f t="shared" si="0"/>
        <v>15</v>
      </c>
      <c r="Q10" s="353"/>
    </row>
    <row r="11" spans="1:17" ht="10.5" hidden="1" customHeight="1" x14ac:dyDescent="0.25">
      <c r="I11" s="10"/>
      <c r="J11" s="344"/>
      <c r="K11" s="353"/>
      <c r="L11" s="366" t="str">
        <f>'общие сведения'!A145</f>
        <v>логопед</v>
      </c>
      <c r="M11" s="366"/>
      <c r="N11" s="366" t="str">
        <f>'общие сведения'!D145</f>
        <v>логопеда</v>
      </c>
      <c r="O11" s="155"/>
      <c r="P11" s="40">
        <f t="shared" si="0"/>
        <v>8</v>
      </c>
      <c r="Q11" s="353"/>
    </row>
    <row r="12" spans="1:17" ht="10.5" hidden="1" customHeight="1" x14ac:dyDescent="0.25">
      <c r="I12" s="10"/>
      <c r="J12" s="344"/>
      <c r="K12" s="353"/>
      <c r="L12" s="366" t="str">
        <f>'общие сведения'!A146</f>
        <v>мастер производственного обучения</v>
      </c>
      <c r="M12" s="366"/>
      <c r="N12" s="366" t="str">
        <f>'общие сведения'!D146</f>
        <v>мастера п./о.</v>
      </c>
      <c r="O12" s="155"/>
      <c r="P12" s="40">
        <f t="shared" si="0"/>
        <v>13</v>
      </c>
      <c r="Q12" s="353"/>
    </row>
    <row r="13" spans="1:17" ht="10.5" hidden="1" customHeight="1" x14ac:dyDescent="0.25">
      <c r="I13" s="10"/>
      <c r="J13" s="344"/>
      <c r="K13" s="353"/>
      <c r="L13" s="366" t="str">
        <f>'общие сведения'!A147</f>
        <v>методист</v>
      </c>
      <c r="M13" s="366"/>
      <c r="N13" s="366" t="str">
        <f>'общие сведения'!D147</f>
        <v>методиста</v>
      </c>
      <c r="O13" s="155"/>
      <c r="P13" s="40"/>
      <c r="Q13" s="353"/>
    </row>
    <row r="14" spans="1:17" ht="10.5" hidden="1" customHeight="1" x14ac:dyDescent="0.25">
      <c r="I14" s="10"/>
      <c r="J14" s="344"/>
      <c r="K14" s="353"/>
      <c r="L14" s="366" t="str">
        <f>'общие сведения'!A148</f>
        <v>музыкальный руководитель</v>
      </c>
      <c r="M14" s="366"/>
      <c r="N14" s="366" t="str">
        <f>'общие сведения'!D148</f>
        <v>музыкального руководителя</v>
      </c>
      <c r="O14" s="155"/>
      <c r="P14" s="40">
        <f t="shared" si="0"/>
        <v>25</v>
      </c>
      <c r="Q14" s="353"/>
    </row>
    <row r="15" spans="1:17" ht="10.5" hidden="1" customHeight="1" x14ac:dyDescent="0.25">
      <c r="I15" s="10"/>
      <c r="J15" s="344"/>
      <c r="K15" s="353"/>
      <c r="L15" s="366" t="str">
        <f>'общие сведения'!A149</f>
        <v>педагог</v>
      </c>
      <c r="M15" s="366"/>
      <c r="N15" s="366" t="str">
        <f>'общие сведения'!D149</f>
        <v>педагога</v>
      </c>
      <c r="O15" s="155"/>
      <c r="P15" s="40">
        <f t="shared" si="0"/>
        <v>8</v>
      </c>
      <c r="Q15" s="353"/>
    </row>
    <row r="16" spans="1:17" ht="10.5" hidden="1" customHeight="1" x14ac:dyDescent="0.25">
      <c r="I16" s="10"/>
      <c r="J16" s="344"/>
      <c r="K16" s="353"/>
      <c r="L16" s="366" t="str">
        <f>'общие сведения'!A150</f>
        <v>педагог дополнительного образования</v>
      </c>
      <c r="M16" s="366"/>
      <c r="N16" s="366" t="str">
        <f>'общие сведения'!D150</f>
        <v>педагога доп. образования</v>
      </c>
      <c r="O16" s="155"/>
      <c r="P16" s="40">
        <f t="shared" si="0"/>
        <v>25</v>
      </c>
      <c r="Q16" s="353"/>
    </row>
    <row r="17" spans="9:17" ht="10.5" hidden="1" customHeight="1" x14ac:dyDescent="0.25">
      <c r="I17" s="10"/>
      <c r="J17" s="344"/>
      <c r="K17" s="353"/>
      <c r="L17" s="366" t="str">
        <f>'общие сведения'!A151</f>
        <v>педагог-организатор</v>
      </c>
      <c r="M17" s="366"/>
      <c r="N17" s="366" t="str">
        <f>'общие сведения'!D151</f>
        <v>педагога-организатора</v>
      </c>
      <c r="O17" s="155"/>
      <c r="P17" s="40">
        <f t="shared" si="0"/>
        <v>21</v>
      </c>
      <c r="Q17" s="353"/>
    </row>
    <row r="18" spans="9:17" ht="10.5" hidden="1" customHeight="1" x14ac:dyDescent="0.25">
      <c r="I18" s="10"/>
      <c r="J18" s="344"/>
      <c r="K18" s="353"/>
      <c r="L18" s="366" t="str">
        <f>'общие сведения'!A152</f>
        <v>педагог-психолог</v>
      </c>
      <c r="M18" s="366"/>
      <c r="N18" s="366" t="str">
        <f>'общие сведения'!D152</f>
        <v>педагога-психолога</v>
      </c>
      <c r="O18" s="155"/>
      <c r="P18" s="40">
        <f t="shared" si="0"/>
        <v>18</v>
      </c>
      <c r="Q18" s="353"/>
    </row>
    <row r="19" spans="9:17" ht="10.5" hidden="1" customHeight="1" x14ac:dyDescent="0.25">
      <c r="I19" s="10"/>
      <c r="J19" s="344"/>
      <c r="K19" s="353"/>
      <c r="L19" s="366" t="str">
        <f>'общие сведения'!A153</f>
        <v>преподаватель</v>
      </c>
      <c r="M19" s="366"/>
      <c r="N19" s="366" t="str">
        <f>'общие сведения'!D153</f>
        <v>преподавателя</v>
      </c>
      <c r="O19" s="155"/>
      <c r="P19" s="40">
        <f t="shared" si="0"/>
        <v>13</v>
      </c>
      <c r="Q19" s="353"/>
    </row>
    <row r="20" spans="9:17" ht="10.5" hidden="1" customHeight="1" x14ac:dyDescent="0.25">
      <c r="I20" s="10"/>
      <c r="J20" s="344"/>
      <c r="K20" s="353"/>
      <c r="L20" s="366" t="str">
        <f>'общие сведения'!A154</f>
        <v xml:space="preserve">преподаватель-организатор </v>
      </c>
      <c r="M20" s="366"/>
      <c r="N20" s="366" t="str">
        <f>'общие сведения'!D154</f>
        <v xml:space="preserve">преподавателя-организатора </v>
      </c>
      <c r="O20" s="155"/>
      <c r="P20" s="40">
        <f t="shared" si="0"/>
        <v>27</v>
      </c>
      <c r="Q20" s="353"/>
    </row>
    <row r="21" spans="9:17" ht="10.5" hidden="1" customHeight="1" x14ac:dyDescent="0.25">
      <c r="I21" s="10"/>
      <c r="J21" s="344"/>
      <c r="K21" s="353"/>
      <c r="L21" s="366" t="str">
        <f>'общие сведения'!A155</f>
        <v>психолог</v>
      </c>
      <c r="M21" s="366"/>
      <c r="N21" s="366" t="str">
        <f>'общие сведения'!D155</f>
        <v>психолога</v>
      </c>
      <c r="O21" s="155"/>
      <c r="P21" s="40">
        <f t="shared" si="0"/>
        <v>9</v>
      </c>
      <c r="Q21" s="353"/>
    </row>
    <row r="22" spans="9:17" ht="10.5" hidden="1" customHeight="1" x14ac:dyDescent="0.25">
      <c r="I22" s="10"/>
      <c r="J22" s="344"/>
      <c r="K22" s="353"/>
      <c r="L22" s="366" t="str">
        <f>'общие сведения'!A156</f>
        <v>руководитель физ.воспитания</v>
      </c>
      <c r="M22" s="366"/>
      <c r="N22" s="366" t="str">
        <f>'общие сведения'!D156</f>
        <v>руководителя физ. воспитания</v>
      </c>
      <c r="O22" s="155"/>
      <c r="P22" s="40">
        <f t="shared" si="0"/>
        <v>28</v>
      </c>
      <c r="Q22" s="353"/>
    </row>
    <row r="23" spans="9:17" ht="10.5" hidden="1" customHeight="1" x14ac:dyDescent="0.25">
      <c r="I23" s="10"/>
      <c r="J23" s="344"/>
      <c r="K23" s="353"/>
      <c r="L23" s="366" t="str">
        <f>'общие сведения'!A157</f>
        <v>социальный педагог</v>
      </c>
      <c r="M23" s="366"/>
      <c r="N23" s="366" t="str">
        <f>'общие сведения'!D157</f>
        <v>социального педагога</v>
      </c>
      <c r="O23" s="155"/>
      <c r="P23" s="40">
        <f t="shared" si="0"/>
        <v>20</v>
      </c>
      <c r="Q23" s="353"/>
    </row>
    <row r="24" spans="9:17" ht="10.5" hidden="1" customHeight="1" x14ac:dyDescent="0.25">
      <c r="I24" s="10"/>
      <c r="J24" s="344"/>
      <c r="K24" s="353"/>
      <c r="L24" s="366" t="str">
        <f>'общие сведения'!A158</f>
        <v>старший воспитатель</v>
      </c>
      <c r="M24" s="366"/>
      <c r="N24" s="366" t="str">
        <f>'общие сведения'!D158</f>
        <v>старшего воспитателя</v>
      </c>
      <c r="O24" s="155"/>
      <c r="P24" s="40">
        <f t="shared" si="0"/>
        <v>20</v>
      </c>
      <c r="Q24" s="353"/>
    </row>
    <row r="25" spans="9:17" ht="10.5" hidden="1" customHeight="1" x14ac:dyDescent="0.25">
      <c r="I25" s="10"/>
      <c r="J25" s="344"/>
      <c r="K25" s="353"/>
      <c r="L25" s="366" t="str">
        <f>'общие сведения'!A159</f>
        <v>тренер</v>
      </c>
      <c r="M25" s="366"/>
      <c r="N25" s="366" t="str">
        <f>'общие сведения'!D159</f>
        <v>тренера</v>
      </c>
      <c r="O25" s="155"/>
      <c r="P25" s="40">
        <f t="shared" si="0"/>
        <v>7</v>
      </c>
      <c r="Q25" s="353"/>
    </row>
    <row r="26" spans="9:17" ht="10.5" hidden="1" customHeight="1" x14ac:dyDescent="0.25">
      <c r="I26" s="10"/>
      <c r="J26" s="344"/>
      <c r="K26" s="353"/>
      <c r="L26" s="366" t="str">
        <f>'общие сведения'!A160</f>
        <v>тренер-преподаватель</v>
      </c>
      <c r="M26" s="366"/>
      <c r="N26" s="366" t="str">
        <f>'общие сведения'!D160</f>
        <v>тренера-преподавателя</v>
      </c>
      <c r="O26" s="155"/>
      <c r="P26" s="40">
        <f t="shared" si="0"/>
        <v>21</v>
      </c>
      <c r="Q26" s="353"/>
    </row>
    <row r="27" spans="9:17" ht="10.5" hidden="1" customHeight="1" x14ac:dyDescent="0.25">
      <c r="I27" s="10"/>
      <c r="J27" s="344"/>
      <c r="K27" s="353"/>
      <c r="L27" s="366" t="str">
        <f>'общие сведения'!A161</f>
        <v>учитель</v>
      </c>
      <c r="M27" s="366"/>
      <c r="N27" s="366" t="str">
        <f>'общие сведения'!D161</f>
        <v>учителя</v>
      </c>
      <c r="O27" s="155"/>
      <c r="P27" s="40">
        <f t="shared" si="0"/>
        <v>7</v>
      </c>
      <c r="Q27" s="353"/>
    </row>
    <row r="28" spans="9:17" ht="10.5" hidden="1" customHeight="1" x14ac:dyDescent="0.25">
      <c r="I28" s="10"/>
      <c r="J28" s="344"/>
      <c r="K28" s="353"/>
      <c r="L28" s="366" t="str">
        <f>'общие сведения'!A162</f>
        <v>учитель-дефектолог</v>
      </c>
      <c r="M28" s="366"/>
      <c r="N28" s="366" t="str">
        <f>'общие сведения'!D162</f>
        <v>учителя-дефектолога</v>
      </c>
      <c r="O28" s="155"/>
      <c r="P28" s="40">
        <f t="shared" si="0"/>
        <v>19</v>
      </c>
      <c r="Q28" s="353"/>
    </row>
    <row r="29" spans="9:17" ht="10.5" hidden="1" customHeight="1" x14ac:dyDescent="0.25">
      <c r="I29" s="10"/>
      <c r="J29" s="344"/>
      <c r="K29" s="353"/>
      <c r="L29" s="366" t="str">
        <f>'общие сведения'!A163</f>
        <v>учитель-логопед</v>
      </c>
      <c r="M29" s="366"/>
      <c r="N29" s="366" t="str">
        <f>'общие сведения'!D163</f>
        <v>учителя-логопеда</v>
      </c>
      <c r="O29" s="155"/>
      <c r="P29" s="40">
        <f t="shared" si="0"/>
        <v>16</v>
      </c>
      <c r="Q29" s="353"/>
    </row>
    <row r="30" spans="9:17" ht="10.5" hidden="1" customHeight="1" x14ac:dyDescent="0.25">
      <c r="I30" s="10"/>
      <c r="J30" s="344"/>
      <c r="K30" s="353"/>
      <c r="L30" s="366">
        <f>'общие сведения'!A164</f>
        <v>0</v>
      </c>
      <c r="M30" s="366"/>
      <c r="N30" s="366">
        <f>'общие сведения'!D164</f>
        <v>0</v>
      </c>
      <c r="O30" s="155"/>
      <c r="P30" s="40">
        <f t="shared" si="0"/>
        <v>1</v>
      </c>
      <c r="Q30" s="353"/>
    </row>
    <row r="31" spans="9:17" ht="10.5" hidden="1" customHeight="1" x14ac:dyDescent="0.25">
      <c r="I31" s="10"/>
      <c r="J31" s="344"/>
      <c r="K31" s="353"/>
      <c r="L31" s="367" t="str">
        <f>IF(OR('общие сведения'!K32=""),"Ошибка !",VLOOKUP('общие сведения'!K32,L2:O30,3))</f>
        <v>преподавателя</v>
      </c>
      <c r="M31" s="368"/>
      <c r="N31" s="369">
        <f>LEN(L31)</f>
        <v>13</v>
      </c>
      <c r="O31" s="159"/>
      <c r="Q31" s="353"/>
    </row>
    <row r="32" spans="9:17" ht="10.5" hidden="1" customHeight="1" x14ac:dyDescent="0.25">
      <c r="I32" s="10"/>
      <c r="J32" s="344"/>
      <c r="K32" s="353"/>
      <c r="L32" s="370">
        <f>IF(ISERR(FIND(LEFT(L31,5),C45)),0,1)</f>
        <v>0</v>
      </c>
      <c r="M32" s="1007"/>
      <c r="N32" s="1007"/>
      <c r="O32" s="160"/>
      <c r="Q32" s="353"/>
    </row>
    <row r="33" spans="1:19" ht="10.5" hidden="1" customHeight="1" x14ac:dyDescent="0.25">
      <c r="I33" s="10"/>
      <c r="J33" s="344"/>
      <c r="K33" s="353"/>
      <c r="L33" s="366"/>
      <c r="M33" s="446"/>
      <c r="N33" s="446"/>
      <c r="O33" s="157"/>
      <c r="Q33" s="353"/>
    </row>
    <row r="34" spans="1:19" s="430" customFormat="1" x14ac:dyDescent="0.25">
      <c r="A34" s="800" t="s">
        <v>588</v>
      </c>
      <c r="B34" s="800"/>
      <c r="C34" s="800"/>
      <c r="D34" s="800"/>
      <c r="E34" s="800"/>
      <c r="F34" s="800"/>
      <c r="G34" s="800"/>
      <c r="H34" s="800"/>
      <c r="I34" s="800"/>
      <c r="J34" s="800"/>
      <c r="K34" s="353" t="str">
        <f>'общие сведения'!G12</f>
        <v xml:space="preserve"> преподавателя  ДШИ и других школ по видам искусств</v>
      </c>
    </row>
    <row r="35" spans="1:19" s="430" customFormat="1" ht="3.75" customHeight="1" x14ac:dyDescent="0.25">
      <c r="A35" s="444"/>
      <c r="B35" s="444"/>
      <c r="C35" s="444"/>
      <c r="D35" s="444"/>
      <c r="E35" s="444"/>
      <c r="F35" s="444"/>
      <c r="G35" s="444"/>
      <c r="H35" s="444"/>
      <c r="I35" s="444"/>
      <c r="J35" s="444"/>
      <c r="K35" s="429"/>
    </row>
    <row r="36" spans="1:19" s="109" customFormat="1" ht="26.25" customHeight="1" x14ac:dyDescent="0.25">
      <c r="A36" s="1012" t="s">
        <v>575</v>
      </c>
      <c r="B36" s="1012"/>
      <c r="C36" s="1012"/>
      <c r="D36" s="1012"/>
      <c r="E36" s="1012"/>
      <c r="F36" s="1012"/>
      <c r="G36" s="1012"/>
      <c r="H36" s="1012"/>
      <c r="I36" s="1012"/>
      <c r="J36" s="1012"/>
      <c r="K36" s="431"/>
    </row>
    <row r="37" spans="1:19" s="109" customFormat="1" ht="13.2" x14ac:dyDescent="0.25">
      <c r="A37" s="1012" t="s">
        <v>506</v>
      </c>
      <c r="B37" s="1012"/>
      <c r="C37" s="1012"/>
      <c r="D37" s="1012"/>
      <c r="E37" s="1012"/>
      <c r="F37" s="1012"/>
      <c r="G37" s="1012"/>
      <c r="H37" s="1012"/>
      <c r="I37" s="1012"/>
      <c r="J37" s="1012"/>
      <c r="K37" s="431"/>
      <c r="S37" s="3"/>
    </row>
    <row r="38" spans="1:19" s="109" customFormat="1" ht="7.5" customHeight="1" x14ac:dyDescent="0.25">
      <c r="A38" s="1012"/>
      <c r="B38" s="1012"/>
      <c r="C38" s="1012"/>
      <c r="D38" s="1012"/>
      <c r="E38" s="1012"/>
      <c r="F38" s="1012"/>
      <c r="G38" s="1012"/>
      <c r="H38" s="1012"/>
      <c r="I38" s="1012"/>
      <c r="J38" s="1012"/>
      <c r="K38" s="431"/>
    </row>
    <row r="39" spans="1:19" s="430" customFormat="1" ht="18" customHeight="1" x14ac:dyDescent="0.25">
      <c r="A39" s="432" t="s">
        <v>507</v>
      </c>
      <c r="B39" s="433"/>
      <c r="C39" s="433"/>
      <c r="D39" s="434"/>
      <c r="E39" s="434"/>
      <c r="F39" s="434"/>
      <c r="G39" s="434"/>
      <c r="H39" s="434"/>
      <c r="I39" s="434"/>
      <c r="J39" s="10" t="s">
        <v>339</v>
      </c>
      <c r="K39" s="429"/>
    </row>
    <row r="40" spans="1:19" s="436" customFormat="1" ht="1.5" customHeight="1" x14ac:dyDescent="0.25">
      <c r="A40" s="432"/>
      <c r="B40" s="433"/>
      <c r="C40" s="433"/>
      <c r="D40" s="434"/>
      <c r="E40" s="434"/>
      <c r="F40" s="434"/>
      <c r="G40" s="434"/>
      <c r="H40" s="434"/>
      <c r="I40" s="434"/>
      <c r="J40" s="434"/>
      <c r="K40" s="429"/>
      <c r="L40" s="430"/>
      <c r="M40" s="430"/>
      <c r="N40" s="430"/>
      <c r="O40" s="430"/>
      <c r="P40" s="430"/>
      <c r="Q40" s="430"/>
      <c r="R40" s="435"/>
    </row>
    <row r="41" spans="1:19" s="438" customFormat="1" ht="13.2" x14ac:dyDescent="0.25">
      <c r="A41" s="796" t="s">
        <v>119</v>
      </c>
      <c r="B41" s="796"/>
      <c r="C41" s="796"/>
      <c r="D41" s="801" t="str">
        <f>IF('общие сведения'!C25&lt;&gt;"",PROPER(TRIM('общие сведения'!C25)),"")</f>
        <v/>
      </c>
      <c r="E41" s="801"/>
      <c r="F41" s="801"/>
      <c r="G41" s="801"/>
      <c r="H41" s="801"/>
      <c r="I41" s="801"/>
      <c r="J41" s="801"/>
      <c r="K41" s="437"/>
    </row>
    <row r="42" spans="1:19" s="438" customFormat="1" ht="15" customHeight="1" x14ac:dyDescent="0.25">
      <c r="A42" s="796" t="s">
        <v>161</v>
      </c>
      <c r="B42" s="796"/>
      <c r="C42" s="1066" t="str">
        <f>IF(fio="","",TRIM('общие сведения'!C29))</f>
        <v/>
      </c>
      <c r="D42" s="1066"/>
      <c r="E42" s="1066"/>
      <c r="F42" s="1066"/>
      <c r="G42" s="1066"/>
      <c r="H42" s="1066"/>
      <c r="I42" s="1066"/>
      <c r="J42" s="1066"/>
      <c r="K42" s="437"/>
    </row>
    <row r="43" spans="1:19" s="438" customFormat="1" ht="30" customHeight="1" x14ac:dyDescent="0.25">
      <c r="A43" s="439"/>
      <c r="B43" s="124"/>
      <c r="C43" s="797"/>
      <c r="D43" s="797"/>
      <c r="E43" s="797"/>
      <c r="F43" s="797"/>
      <c r="G43" s="797"/>
      <c r="H43" s="797"/>
      <c r="I43" s="797"/>
      <c r="J43" s="797"/>
      <c r="K43" s="437"/>
    </row>
    <row r="44" spans="1:19" s="438" customFormat="1" ht="13.2" hidden="1" x14ac:dyDescent="0.25">
      <c r="A44" s="439"/>
      <c r="B44" s="124"/>
      <c r="C44" s="440"/>
      <c r="D44" s="440"/>
      <c r="E44" s="440"/>
      <c r="F44" s="440"/>
      <c r="G44" s="440"/>
      <c r="H44" s="440"/>
      <c r="I44" s="440"/>
      <c r="J44" s="440"/>
      <c r="K44" s="437"/>
    </row>
    <row r="45" spans="1:19" s="438" customFormat="1" ht="13.2" x14ac:dyDescent="0.25">
      <c r="A45" s="796" t="s">
        <v>162</v>
      </c>
      <c r="B45" s="796"/>
      <c r="C45" s="1067" t="str">
        <f>IF(fio="","",'общие сведения'!K32)</f>
        <v/>
      </c>
      <c r="D45" s="1067"/>
      <c r="E45" s="1067"/>
      <c r="F45" s="1067"/>
      <c r="G45" s="1067"/>
      <c r="H45" s="1067"/>
      <c r="I45" s="1067"/>
      <c r="J45" s="1067"/>
      <c r="K45" s="437"/>
    </row>
    <row r="46" spans="1:19" s="438" customFormat="1" ht="13.2" x14ac:dyDescent="0.25">
      <c r="A46" s="1065" t="s">
        <v>520</v>
      </c>
      <c r="B46" s="1065"/>
      <c r="C46" s="1067" t="str">
        <f>IF(fio="","",'общие сведения'!K33)</f>
        <v/>
      </c>
      <c r="D46" s="1067"/>
      <c r="E46" s="1067"/>
      <c r="F46" s="1067"/>
      <c r="G46" s="1067"/>
      <c r="H46" s="1067"/>
      <c r="I46" s="1067"/>
      <c r="J46" s="1067"/>
      <c r="K46" s="437"/>
    </row>
    <row r="47" spans="1:19" s="438" customFormat="1" ht="13.2" x14ac:dyDescent="0.25">
      <c r="A47" s="796" t="s">
        <v>120</v>
      </c>
      <c r="B47" s="796"/>
      <c r="C47" s="796"/>
      <c r="D47" s="1063" t="str">
        <f>IF(fio="","",IF('общие сведения'!D27="муниципальный район",'общие сведения'!G27,'общие сведения'!D27))</f>
        <v/>
      </c>
      <c r="E47" s="1063"/>
      <c r="F47" s="1063"/>
      <c r="G47" s="1064" t="str">
        <f>IF(fio="","",IF('общие сведения'!D27="муниципальный район",'общие сведения'!D27,'общие сведения'!G27))</f>
        <v/>
      </c>
      <c r="H47" s="1064"/>
      <c r="I47" s="1064"/>
      <c r="J47" s="1064"/>
      <c r="K47" s="437"/>
    </row>
    <row r="48" spans="1:19" s="438" customFormat="1" ht="13.2" x14ac:dyDescent="0.25">
      <c r="A48" s="796" t="s">
        <v>172</v>
      </c>
      <c r="B48" s="796"/>
      <c r="C48" s="796"/>
      <c r="D48" s="796"/>
      <c r="E48" s="441" t="str">
        <f>IF(fio="","",'общие сведения'!D40)</f>
        <v/>
      </c>
      <c r="F48" s="442" t="str">
        <f>IF(fio="","",'общие сведения'!E40)</f>
        <v/>
      </c>
      <c r="G48" s="443"/>
      <c r="H48" s="443"/>
      <c r="I48" s="443"/>
      <c r="J48" s="443"/>
      <c r="K48" s="437"/>
    </row>
    <row r="49" spans="1:57" s="546" customFormat="1" ht="13.2" x14ac:dyDescent="0.25">
      <c r="A49" s="796" t="s">
        <v>173</v>
      </c>
      <c r="B49" s="796"/>
      <c r="C49" s="796"/>
      <c r="D49" s="796"/>
      <c r="E49" s="1068" t="str">
        <f>IF(fio&lt;&gt;"",'общие сведения'!D41,"")</f>
        <v/>
      </c>
      <c r="F49" s="1068"/>
      <c r="G49" s="795" t="s">
        <v>549</v>
      </c>
      <c r="H49" s="795"/>
      <c r="I49" s="803" t="str">
        <f>IF(OR('общие сведения'!I41="",E49=""),"",'общие сведения'!I41)</f>
        <v/>
      </c>
      <c r="J49" s="803"/>
      <c r="K49" s="545"/>
      <c r="Q49" s="547"/>
      <c r="R49" s="548"/>
    </row>
    <row r="50" spans="1:57" s="546" customFormat="1" ht="13.2" x14ac:dyDescent="0.25">
      <c r="A50" s="796" t="s">
        <v>121</v>
      </c>
      <c r="B50" s="796"/>
      <c r="C50" s="796"/>
      <c r="D50" s="796"/>
      <c r="E50" s="802" t="str">
        <f>IF(fio&lt;&gt;"",'общие сведения'!D43,"")</f>
        <v/>
      </c>
      <c r="F50" s="802"/>
      <c r="G50" s="795" t="str">
        <f>IF(E49="нет",'общие сведения'!K43,"")</f>
        <v/>
      </c>
      <c r="H50" s="795"/>
      <c r="I50" s="549" t="str">
        <f>IF(E49="нет",'общие сведения'!L43,"")</f>
        <v/>
      </c>
      <c r="J50" s="550" t="str">
        <f>IF(E49="нет",'общие сведения'!M43,"")</f>
        <v/>
      </c>
      <c r="K50" s="545"/>
      <c r="L50" s="551"/>
      <c r="Q50" s="547"/>
      <c r="R50" s="548"/>
    </row>
    <row r="51" spans="1:57" s="546" customFormat="1" ht="12.75" customHeight="1" x14ac:dyDescent="0.25">
      <c r="A51" s="796" t="s">
        <v>533</v>
      </c>
      <c r="B51" s="796"/>
      <c r="C51" s="797" t="str">
        <f>IF(fio="","",'общие сведения'!B45)</f>
        <v/>
      </c>
      <c r="D51" s="797"/>
      <c r="E51" s="797"/>
      <c r="F51" s="797"/>
      <c r="G51" s="552"/>
      <c r="H51" s="552"/>
      <c r="I51" s="552"/>
      <c r="J51" s="553"/>
      <c r="K51" s="545"/>
      <c r="L51" s="551"/>
      <c r="Q51" s="547"/>
      <c r="R51" s="548"/>
    </row>
    <row r="52" spans="1:57" s="546" customFormat="1" ht="3.75" customHeight="1" x14ac:dyDescent="0.25">
      <c r="A52" s="129"/>
      <c r="B52" s="350"/>
      <c r="C52" s="350"/>
      <c r="D52" s="554"/>
      <c r="E52" s="555"/>
      <c r="F52" s="555"/>
      <c r="G52" s="555"/>
      <c r="H52" s="555"/>
      <c r="I52" s="555"/>
      <c r="J52" s="553"/>
      <c r="K52" s="545"/>
      <c r="L52" s="551"/>
      <c r="Q52" s="547"/>
      <c r="R52" s="548"/>
    </row>
    <row r="53" spans="1:57" s="546" customFormat="1" ht="12.75" customHeight="1" x14ac:dyDescent="0.25">
      <c r="A53" s="793" t="str">
        <f>IF(fio="","",'общие сведения'!L48&amp;IF('общие сведения'!L52="","","; "&amp;'общие сведения'!L52)&amp;IF('общие сведения'!L56="","","; "&amp;'общие сведения'!L56))</f>
        <v/>
      </c>
      <c r="B53" s="793"/>
      <c r="C53" s="793"/>
      <c r="D53" s="793"/>
      <c r="E53" s="793"/>
      <c r="F53" s="793"/>
      <c r="G53" s="793"/>
      <c r="H53" s="793"/>
      <c r="I53" s="793"/>
      <c r="J53" s="793"/>
      <c r="K53" s="545"/>
      <c r="L53" s="551"/>
      <c r="Q53" s="547"/>
      <c r="R53" s="548"/>
      <c r="AT53" s="557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  <c r="BE53" s="557"/>
    </row>
    <row r="54" spans="1:57" s="546" customFormat="1" ht="13.2" x14ac:dyDescent="0.25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545"/>
      <c r="L54" s="551"/>
      <c r="Q54" s="547"/>
      <c r="R54" s="548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</row>
    <row r="55" spans="1:57" s="546" customFormat="1" ht="13.2" x14ac:dyDescent="0.25">
      <c r="A55" s="793"/>
      <c r="B55" s="793"/>
      <c r="C55" s="793"/>
      <c r="D55" s="793"/>
      <c r="E55" s="793"/>
      <c r="F55" s="793"/>
      <c r="G55" s="793"/>
      <c r="H55" s="793"/>
      <c r="I55" s="793"/>
      <c r="J55" s="793"/>
      <c r="K55" s="545"/>
      <c r="L55" s="551"/>
      <c r="Q55" s="547"/>
      <c r="R55" s="548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</row>
    <row r="56" spans="1:57" s="546" customFormat="1" ht="13.2" x14ac:dyDescent="0.25">
      <c r="A56" s="793"/>
      <c r="B56" s="793"/>
      <c r="C56" s="793"/>
      <c r="D56" s="793"/>
      <c r="E56" s="793"/>
      <c r="F56" s="793"/>
      <c r="G56" s="793"/>
      <c r="H56" s="793"/>
      <c r="I56" s="793"/>
      <c r="J56" s="793"/>
      <c r="K56" s="545"/>
      <c r="L56" s="551"/>
      <c r="Q56" s="547"/>
      <c r="R56" s="548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</row>
    <row r="57" spans="1:57" s="546" customFormat="1" ht="7.5" customHeight="1" x14ac:dyDescent="0.25">
      <c r="A57" s="556"/>
      <c r="B57" s="556"/>
      <c r="C57" s="556"/>
      <c r="D57" s="556"/>
      <c r="E57" s="556"/>
      <c r="F57" s="556"/>
      <c r="G57" s="556"/>
      <c r="H57" s="556"/>
      <c r="I57" s="556"/>
      <c r="J57" s="553"/>
      <c r="K57" s="545"/>
      <c r="L57" s="551"/>
      <c r="Q57" s="547"/>
      <c r="R57" s="548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</row>
    <row r="58" spans="1:57" s="546" customFormat="1" ht="13.2" x14ac:dyDescent="0.25">
      <c r="A58" s="558" t="s">
        <v>550</v>
      </c>
      <c r="B58" s="133"/>
      <c r="C58" s="557"/>
      <c r="D58" s="557"/>
      <c r="E58" s="557"/>
      <c r="F58" s="559"/>
      <c r="G58" s="557"/>
      <c r="H58" s="557"/>
      <c r="I58" s="557"/>
      <c r="J58" s="553"/>
      <c r="K58" s="545"/>
      <c r="L58" s="551"/>
      <c r="Q58" s="547"/>
      <c r="R58" s="548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</row>
    <row r="59" spans="1:57" s="546" customFormat="1" ht="13.2" x14ac:dyDescent="0.25">
      <c r="A59" s="798" t="str">
        <f>'общие сведения'!A71</f>
        <v>Курсы повышения квалификации</v>
      </c>
      <c r="B59" s="798"/>
      <c r="C59" s="798"/>
      <c r="D59" s="798"/>
      <c r="E59" s="798"/>
      <c r="F59" s="560" t="str">
        <f>IF(fio="","",'общие сведения'!G71)</f>
        <v/>
      </c>
      <c r="G59" s="133" t="s">
        <v>551</v>
      </c>
      <c r="H59" s="555"/>
      <c r="I59" s="555"/>
      <c r="J59" s="553"/>
      <c r="K59" s="545"/>
      <c r="L59" s="551"/>
      <c r="Q59" s="547"/>
      <c r="R59" s="548"/>
    </row>
    <row r="60" spans="1:57" s="546" customFormat="1" ht="13.2" x14ac:dyDescent="0.25">
      <c r="A60" s="79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99"/>
      <c r="C60" s="799"/>
      <c r="D60" s="799"/>
      <c r="E60" s="799"/>
      <c r="F60" s="799"/>
      <c r="G60" s="799"/>
      <c r="H60" s="799"/>
      <c r="I60" s="799"/>
      <c r="J60" s="553"/>
      <c r="K60" s="545"/>
      <c r="L60" s="551"/>
      <c r="Q60" s="547"/>
      <c r="R60" s="548"/>
    </row>
    <row r="61" spans="1:57" s="546" customFormat="1" ht="12.75" customHeight="1" x14ac:dyDescent="0.25">
      <c r="A61" s="793" t="str">
        <f>IF(fio="","",'общие сведения'!L66)</f>
        <v/>
      </c>
      <c r="B61" s="793"/>
      <c r="C61" s="793"/>
      <c r="D61" s="793"/>
      <c r="E61" s="793"/>
      <c r="F61" s="793"/>
      <c r="G61" s="793"/>
      <c r="H61" s="793"/>
      <c r="I61" s="793"/>
      <c r="J61" s="793"/>
      <c r="K61" s="545"/>
      <c r="Q61" s="547"/>
      <c r="R61" s="548"/>
    </row>
    <row r="62" spans="1:57" s="546" customFormat="1" ht="13.2" x14ac:dyDescent="0.25">
      <c r="A62" s="793"/>
      <c r="B62" s="793"/>
      <c r="C62" s="793"/>
      <c r="D62" s="793"/>
      <c r="E62" s="793"/>
      <c r="F62" s="793"/>
      <c r="G62" s="793"/>
      <c r="H62" s="793"/>
      <c r="I62" s="793"/>
      <c r="J62" s="793"/>
      <c r="K62" s="545"/>
      <c r="Q62" s="547"/>
      <c r="R62" s="548"/>
    </row>
    <row r="63" spans="1:57" s="546" customFormat="1" ht="13.2" x14ac:dyDescent="0.25">
      <c r="A63" s="793"/>
      <c r="B63" s="793"/>
      <c r="C63" s="793"/>
      <c r="D63" s="793"/>
      <c r="E63" s="793"/>
      <c r="F63" s="793"/>
      <c r="G63" s="793"/>
      <c r="H63" s="793"/>
      <c r="I63" s="793"/>
      <c r="J63" s="793"/>
      <c r="K63" s="545"/>
      <c r="Q63" s="547"/>
      <c r="R63" s="548"/>
    </row>
    <row r="64" spans="1:57" s="546" customFormat="1" ht="9" customHeight="1" x14ac:dyDescent="0.25">
      <c r="A64" s="561"/>
      <c r="B64" s="350"/>
      <c r="C64" s="350"/>
      <c r="D64" s="554"/>
      <c r="E64" s="555"/>
      <c r="F64" s="555"/>
      <c r="G64" s="555"/>
      <c r="H64" s="555"/>
      <c r="I64" s="555"/>
      <c r="J64" s="553"/>
      <c r="K64" s="545"/>
      <c r="Q64" s="547"/>
      <c r="R64" s="548"/>
    </row>
    <row r="65" spans="1:50" s="546" customFormat="1" ht="13.2" x14ac:dyDescent="0.25">
      <c r="A65" s="792" t="s">
        <v>552</v>
      </c>
      <c r="B65" s="792"/>
      <c r="C65" s="792"/>
      <c r="D65" s="792"/>
      <c r="E65" s="792"/>
      <c r="F65" s="792"/>
      <c r="G65" s="792"/>
      <c r="H65" s="792"/>
      <c r="I65" s="792"/>
      <c r="J65" s="553"/>
      <c r="K65" s="545"/>
      <c r="Q65" s="547"/>
      <c r="R65" s="548"/>
    </row>
    <row r="66" spans="1:50" s="546" customFormat="1" ht="12.75" customHeight="1" x14ac:dyDescent="0.25">
      <c r="A66" s="807" t="s">
        <v>553</v>
      </c>
      <c r="B66" s="807"/>
      <c r="C66" s="807"/>
      <c r="D66" s="807"/>
      <c r="E66" s="807"/>
      <c r="F66" s="807"/>
      <c r="G66" s="807"/>
      <c r="H66" s="807"/>
      <c r="I66" s="807"/>
      <c r="J66" s="807"/>
      <c r="K66" s="545"/>
      <c r="Q66" s="547"/>
      <c r="R66" s="548"/>
    </row>
    <row r="67" spans="1:50" s="546" customFormat="1" ht="13.2" x14ac:dyDescent="0.25">
      <c r="A67" s="807"/>
      <c r="B67" s="807"/>
      <c r="C67" s="807"/>
      <c r="D67" s="807"/>
      <c r="E67" s="807"/>
      <c r="F67" s="807"/>
      <c r="G67" s="807"/>
      <c r="H67" s="807"/>
      <c r="I67" s="807"/>
      <c r="J67" s="807"/>
      <c r="K67" s="545"/>
      <c r="Q67" s="547"/>
      <c r="R67" s="548"/>
    </row>
    <row r="68" spans="1:50" s="546" customFormat="1" ht="13.2" x14ac:dyDescent="0.25">
      <c r="A68" s="807"/>
      <c r="B68" s="807"/>
      <c r="C68" s="807"/>
      <c r="D68" s="807"/>
      <c r="E68" s="807"/>
      <c r="F68" s="807"/>
      <c r="G68" s="807"/>
      <c r="H68" s="807"/>
      <c r="I68" s="807"/>
      <c r="J68" s="807"/>
      <c r="K68" s="545"/>
      <c r="Q68" s="547"/>
      <c r="R68" s="548"/>
    </row>
    <row r="69" spans="1:50" s="546" customFormat="1" ht="20.25" customHeight="1" x14ac:dyDescent="0.25">
      <c r="A69" s="807" t="s">
        <v>554</v>
      </c>
      <c r="B69" s="807"/>
      <c r="C69" s="807"/>
      <c r="D69" s="807"/>
      <c r="E69" s="807"/>
      <c r="F69" s="807"/>
      <c r="G69" s="807"/>
      <c r="H69" s="807"/>
      <c r="I69" s="807"/>
      <c r="J69" s="553"/>
      <c r="K69" s="545"/>
      <c r="Q69" s="547"/>
      <c r="R69" s="548"/>
    </row>
    <row r="70" spans="1:50" s="546" customFormat="1" ht="13.2" x14ac:dyDescent="0.25">
      <c r="A70" s="133" t="str">
        <f>A103&amp;B103</f>
        <v>1. Продуктивность образовательной деятельности</v>
      </c>
      <c r="C70" s="133"/>
      <c r="D70" s="554"/>
      <c r="E70" s="555"/>
      <c r="F70" s="555"/>
      <c r="G70" s="555"/>
      <c r="H70" s="555"/>
      <c r="J70" s="562" t="str">
        <f>IF(fio="","",итого_1)</f>
        <v/>
      </c>
      <c r="K70" s="545"/>
      <c r="Q70" s="547"/>
      <c r="R70" s="548"/>
    </row>
    <row r="71" spans="1:50" s="546" customFormat="1" ht="13.2" x14ac:dyDescent="0.25">
      <c r="A71" s="133" t="str">
        <f>A149&amp;B149</f>
        <v>2. Продуктивность деятельности педагогического работника по развитию обучающихся/ воспитанников</v>
      </c>
      <c r="C71" s="133"/>
      <c r="D71" s="554"/>
      <c r="E71" s="555"/>
      <c r="F71" s="555"/>
      <c r="G71" s="555"/>
      <c r="H71" s="555"/>
      <c r="J71" s="562" t="str">
        <f>IF(fio="","",итого_2)</f>
        <v/>
      </c>
      <c r="K71" s="545"/>
      <c r="Q71" s="547"/>
      <c r="R71" s="548"/>
    </row>
    <row r="72" spans="1:50" s="546" customFormat="1" ht="13.2" x14ac:dyDescent="0.25">
      <c r="A72" s="133" t="str">
        <f>A213&amp;B213</f>
        <v>3. Продуктивность личного вклада пед. работника в повышение качества образования</v>
      </c>
      <c r="C72" s="133"/>
      <c r="D72" s="554"/>
      <c r="E72" s="555"/>
      <c r="F72" s="555"/>
      <c r="G72" s="555"/>
      <c r="H72" s="555"/>
      <c r="J72" s="563" t="str">
        <f>IF(fio="","",итого_3)</f>
        <v/>
      </c>
      <c r="K72" s="545"/>
      <c r="Q72" s="547"/>
      <c r="R72" s="548"/>
    </row>
    <row r="73" spans="1:50" s="546" customFormat="1" ht="16.5" customHeight="1" x14ac:dyDescent="0.25">
      <c r="A73" s="808" t="s">
        <v>555</v>
      </c>
      <c r="B73" s="808"/>
      <c r="C73" s="808"/>
      <c r="D73" s="808"/>
      <c r="E73" s="808"/>
      <c r="F73" s="808"/>
      <c r="G73" s="808"/>
      <c r="H73" s="808"/>
      <c r="I73" s="564" t="str">
        <f>IF(fio="","",SUM(J70:J72))</f>
        <v/>
      </c>
      <c r="J73" s="565" t="s">
        <v>114</v>
      </c>
      <c r="K73" s="545"/>
      <c r="Q73" s="547"/>
      <c r="R73" s="548"/>
    </row>
    <row r="74" spans="1:50" s="546" customFormat="1" ht="7.5" customHeight="1" x14ac:dyDescent="0.25">
      <c r="A74" s="566"/>
      <c r="B74" s="566"/>
      <c r="C74" s="566"/>
      <c r="D74" s="566"/>
      <c r="E74" s="566"/>
      <c r="F74" s="566"/>
      <c r="G74" s="566"/>
      <c r="H74" s="566"/>
      <c r="I74" s="567"/>
      <c r="J74" s="568"/>
      <c r="K74" s="545"/>
      <c r="Q74" s="547"/>
      <c r="R74" s="548"/>
    </row>
    <row r="75" spans="1:50" s="546" customFormat="1" ht="7.5" hidden="1" customHeight="1" x14ac:dyDescent="0.25">
      <c r="A75" s="566"/>
      <c r="B75" s="566"/>
      <c r="C75" s="566"/>
      <c r="D75" s="566"/>
      <c r="E75" s="566"/>
      <c r="F75" s="566"/>
      <c r="G75" s="566"/>
      <c r="H75" s="566"/>
      <c r="I75" s="567"/>
      <c r="J75" s="553"/>
      <c r="K75" s="545"/>
      <c r="Q75" s="547"/>
      <c r="R75" s="548"/>
    </row>
    <row r="76" spans="1:50" s="571" customFormat="1" ht="15.75" customHeight="1" x14ac:dyDescent="0.25">
      <c r="A76" s="804" t="s">
        <v>556</v>
      </c>
      <c r="B76" s="804"/>
      <c r="C76" s="804"/>
      <c r="D76" s="805" t="str">
        <f>E466&amp;"  "&amp;G466</f>
        <v xml:space="preserve">  </v>
      </c>
      <c r="E76" s="805"/>
      <c r="F76" s="805"/>
      <c r="G76" s="805"/>
      <c r="H76" s="570" t="s">
        <v>557</v>
      </c>
      <c r="J76" s="572"/>
      <c r="K76" s="545"/>
      <c r="N76" s="16"/>
      <c r="O76" s="463"/>
      <c r="Q76" s="573"/>
      <c r="R76" s="451"/>
    </row>
    <row r="77" spans="1:50" s="571" customFormat="1" ht="13.2" x14ac:dyDescent="0.25">
      <c r="A77" s="132" t="s">
        <v>558</v>
      </c>
      <c r="B77" s="132"/>
      <c r="C77" s="564" t="str">
        <f>E467</f>
        <v/>
      </c>
      <c r="D77" s="132" t="s">
        <v>559</v>
      </c>
      <c r="F77" s="574"/>
      <c r="I77" s="130"/>
      <c r="J77" s="575"/>
      <c r="K77" s="545"/>
      <c r="N77" s="16"/>
      <c r="O77" s="463"/>
      <c r="Q77" s="573"/>
      <c r="R77" s="451"/>
    </row>
    <row r="78" spans="1:50" s="546" customFormat="1" ht="4.5" customHeight="1" x14ac:dyDescent="0.25">
      <c r="A78" s="129"/>
      <c r="B78" s="350"/>
      <c r="C78" s="350"/>
      <c r="D78" s="554"/>
      <c r="E78" s="555"/>
      <c r="F78" s="555"/>
      <c r="G78" s="555"/>
      <c r="H78" s="555"/>
      <c r="I78" s="555"/>
      <c r="J78" s="553"/>
      <c r="K78" s="545"/>
      <c r="Q78" s="547"/>
      <c r="R78" s="548"/>
    </row>
    <row r="79" spans="1:50" s="546" customFormat="1" ht="13.2" x14ac:dyDescent="0.25">
      <c r="A79" s="558" t="s">
        <v>328</v>
      </c>
      <c r="B79" s="350"/>
      <c r="C79" s="350"/>
      <c r="D79" s="554"/>
      <c r="E79" s="555"/>
      <c r="F79" s="555"/>
      <c r="G79" s="555"/>
      <c r="H79" s="555"/>
      <c r="I79" s="555"/>
      <c r="J79" s="553"/>
      <c r="K79" s="545"/>
      <c r="Q79" s="547"/>
      <c r="R79" s="548"/>
    </row>
    <row r="80" spans="1:50" s="546" customFormat="1" ht="12.75" customHeight="1" x14ac:dyDescent="0.25">
      <c r="A80" s="129"/>
      <c r="B80" s="350"/>
      <c r="C80" s="806" t="str">
        <f xml:space="preserve"> IF(fio&lt;&gt;"",рек_итог,"")</f>
        <v/>
      </c>
      <c r="D80" s="806"/>
      <c r="E80" s="806"/>
      <c r="F80" s="806"/>
      <c r="G80" s="806"/>
      <c r="H80" s="806"/>
      <c r="I80" s="806"/>
      <c r="J80" s="806"/>
      <c r="K80" s="545"/>
      <c r="L80" s="576"/>
      <c r="M80" s="576"/>
      <c r="N80" s="576"/>
      <c r="O80" s="576"/>
      <c r="P80" s="576"/>
      <c r="Q80" s="547"/>
      <c r="R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6"/>
      <c r="AN80" s="576"/>
      <c r="AO80" s="576"/>
      <c r="AP80" s="576"/>
      <c r="AQ80" s="576"/>
      <c r="AR80" s="576"/>
      <c r="AS80" s="576"/>
      <c r="AT80" s="576"/>
      <c r="AU80" s="576"/>
      <c r="AV80" s="576"/>
      <c r="AW80" s="576"/>
      <c r="AX80" s="576"/>
    </row>
    <row r="81" spans="1:50" s="546" customFormat="1" ht="13.2" x14ac:dyDescent="0.25">
      <c r="A81" s="129"/>
      <c r="B81" s="350"/>
      <c r="C81" s="806"/>
      <c r="D81" s="806"/>
      <c r="E81" s="806"/>
      <c r="F81" s="806"/>
      <c r="G81" s="806"/>
      <c r="H81" s="806"/>
      <c r="I81" s="806"/>
      <c r="J81" s="806"/>
      <c r="K81" s="545"/>
      <c r="L81" s="576"/>
      <c r="M81" s="576"/>
      <c r="N81" s="576"/>
      <c r="O81" s="576"/>
      <c r="P81" s="576"/>
      <c r="Q81" s="547"/>
      <c r="R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6"/>
      <c r="AF81" s="576"/>
      <c r="AG81" s="576"/>
      <c r="AH81" s="576"/>
      <c r="AI81" s="576"/>
      <c r="AJ81" s="576"/>
      <c r="AK81" s="576"/>
      <c r="AL81" s="576"/>
      <c r="AM81" s="576"/>
      <c r="AN81" s="576"/>
      <c r="AO81" s="576"/>
      <c r="AP81" s="576"/>
      <c r="AQ81" s="576"/>
      <c r="AR81" s="576"/>
      <c r="AS81" s="576"/>
      <c r="AT81" s="576"/>
      <c r="AU81" s="576"/>
      <c r="AV81" s="576"/>
      <c r="AW81" s="576"/>
      <c r="AX81" s="576"/>
    </row>
    <row r="82" spans="1:50" s="546" customFormat="1" ht="3" customHeight="1" x14ac:dyDescent="0.25">
      <c r="A82" s="129"/>
      <c r="B82" s="350"/>
      <c r="C82" s="806"/>
      <c r="D82" s="806"/>
      <c r="E82" s="806"/>
      <c r="F82" s="806"/>
      <c r="G82" s="806"/>
      <c r="H82" s="806"/>
      <c r="I82" s="806"/>
      <c r="J82" s="806"/>
      <c r="K82" s="545"/>
      <c r="L82" s="576"/>
      <c r="M82" s="576"/>
      <c r="N82" s="576"/>
      <c r="O82" s="576"/>
      <c r="P82" s="576"/>
      <c r="Q82" s="547"/>
      <c r="R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6"/>
      <c r="AK82" s="576"/>
      <c r="AL82" s="576"/>
      <c r="AM82" s="576"/>
      <c r="AN82" s="576"/>
      <c r="AO82" s="576"/>
      <c r="AP82" s="576"/>
      <c r="AQ82" s="576"/>
      <c r="AR82" s="576"/>
      <c r="AS82" s="576"/>
      <c r="AT82" s="576"/>
      <c r="AU82" s="576"/>
      <c r="AV82" s="576"/>
      <c r="AW82" s="576"/>
      <c r="AX82" s="576"/>
    </row>
    <row r="83" spans="1:50" s="546" customFormat="1" ht="3" customHeight="1" x14ac:dyDescent="0.25">
      <c r="A83" s="129"/>
      <c r="B83" s="350"/>
      <c r="C83" s="350"/>
      <c r="D83" s="554"/>
      <c r="E83" s="555"/>
      <c r="F83" s="555"/>
      <c r="G83" s="555"/>
      <c r="H83" s="555"/>
      <c r="I83" s="555"/>
      <c r="J83" s="553"/>
      <c r="K83" s="545"/>
      <c r="Q83" s="547"/>
      <c r="R83" s="548"/>
    </row>
    <row r="84" spans="1:50" s="571" customFormat="1" ht="15" customHeight="1" x14ac:dyDescent="0.25">
      <c r="A84" s="794" t="s">
        <v>560</v>
      </c>
      <c r="B84" s="794"/>
      <c r="C84" s="794"/>
      <c r="D84" s="554"/>
      <c r="E84" s="554"/>
      <c r="F84" s="554"/>
      <c r="G84" s="554"/>
      <c r="H84" s="554"/>
      <c r="I84" s="554"/>
      <c r="J84" s="553"/>
      <c r="K84" s="545"/>
      <c r="L84" s="577"/>
      <c r="M84" s="577"/>
      <c r="N84" s="577"/>
      <c r="O84" s="132"/>
      <c r="P84" s="132"/>
      <c r="Q84" s="547"/>
      <c r="R84" s="578"/>
    </row>
    <row r="85" spans="1:50" s="571" customFormat="1" ht="13.2" x14ac:dyDescent="0.25">
      <c r="A85" s="794"/>
      <c r="B85" s="794"/>
      <c r="C85" s="794"/>
      <c r="D85" s="133"/>
      <c r="E85" s="133"/>
      <c r="F85" s="579" t="str">
        <f>IF(fio&lt;&gt;"",IF('общие сведения'!K98&lt;&gt;"",'общие сведения'!K98,""),"")</f>
        <v/>
      </c>
      <c r="G85" s="580"/>
      <c r="H85" s="580"/>
      <c r="I85" s="580"/>
      <c r="J85" s="553"/>
      <c r="K85" s="545"/>
      <c r="L85" s="577"/>
      <c r="M85" s="577"/>
      <c r="N85" s="133"/>
      <c r="O85" s="361"/>
      <c r="P85" s="581"/>
      <c r="Q85" s="547"/>
      <c r="R85" s="418"/>
    </row>
    <row r="86" spans="1:50" s="571" customFormat="1" ht="9.9" customHeight="1" x14ac:dyDescent="0.25">
      <c r="A86" s="794" t="s">
        <v>561</v>
      </c>
      <c r="B86" s="794"/>
      <c r="C86" s="794"/>
      <c r="D86" s="133"/>
      <c r="E86" s="133"/>
      <c r="F86" s="789" t="s">
        <v>159</v>
      </c>
      <c r="G86" s="789"/>
      <c r="H86" s="789"/>
      <c r="I86" s="789"/>
      <c r="J86" s="553"/>
      <c r="K86" s="545"/>
      <c r="L86" s="582"/>
      <c r="M86" s="582"/>
      <c r="N86" s="93"/>
      <c r="O86" s="133"/>
      <c r="P86" s="133"/>
      <c r="Q86" s="547"/>
      <c r="R86" s="583"/>
    </row>
    <row r="87" spans="1:50" s="571" customFormat="1" ht="15.75" customHeight="1" x14ac:dyDescent="0.25">
      <c r="A87" s="794"/>
      <c r="B87" s="794"/>
      <c r="C87" s="794"/>
      <c r="D87" s="133"/>
      <c r="E87" s="133"/>
      <c r="F87" s="579" t="str">
        <f>IF(fio&lt;&gt;"",IF('общие сведения'!K100&lt;&gt;"",'общие сведения'!K100,""),"")</f>
        <v/>
      </c>
      <c r="G87" s="487"/>
      <c r="H87" s="487"/>
      <c r="I87" s="487"/>
      <c r="J87" s="553"/>
      <c r="K87" s="545"/>
      <c r="L87" s="132"/>
      <c r="M87" s="132"/>
      <c r="N87" s="133"/>
      <c r="O87" s="93"/>
      <c r="P87" s="93"/>
      <c r="Q87" s="547"/>
      <c r="R87" s="584"/>
    </row>
    <row r="88" spans="1:50" s="571" customFormat="1" ht="9.9" customHeight="1" x14ac:dyDescent="0.25">
      <c r="A88" s="451"/>
      <c r="B88" s="585"/>
      <c r="C88" s="554"/>
      <c r="D88" s="133"/>
      <c r="E88" s="133"/>
      <c r="F88" s="789" t="s">
        <v>159</v>
      </c>
      <c r="G88" s="789"/>
      <c r="H88" s="789"/>
      <c r="I88" s="789"/>
      <c r="J88" s="553"/>
      <c r="K88" s="545"/>
      <c r="L88" s="132"/>
      <c r="M88" s="132"/>
      <c r="N88" s="93"/>
      <c r="O88" s="133"/>
      <c r="P88" s="133"/>
      <c r="Q88" s="547"/>
      <c r="R88" s="583"/>
    </row>
    <row r="89" spans="1:50" s="571" customFormat="1" ht="15.6" x14ac:dyDescent="0.25">
      <c r="A89" s="451"/>
      <c r="B89" s="129"/>
      <c r="C89" s="554"/>
      <c r="D89" s="133"/>
      <c r="E89" s="133"/>
      <c r="F89" s="579" t="str">
        <f>IF(fio&lt;&gt;"",IF('общие сведения'!K102&lt;&gt;"",'общие сведения'!K102,""),"")</f>
        <v/>
      </c>
      <c r="G89" s="569"/>
      <c r="H89" s="487"/>
      <c r="I89" s="487"/>
      <c r="J89" s="553"/>
      <c r="K89" s="545"/>
      <c r="L89" s="577"/>
      <c r="M89" s="577"/>
      <c r="N89" s="133"/>
      <c r="O89" s="93"/>
      <c r="P89" s="93"/>
      <c r="Q89" s="547"/>
      <c r="R89" s="584"/>
    </row>
    <row r="90" spans="1:50" s="571" customFormat="1" ht="11.25" customHeight="1" x14ac:dyDescent="0.25">
      <c r="B90" s="129"/>
      <c r="C90" s="554"/>
      <c r="D90" s="133"/>
      <c r="E90" s="133"/>
      <c r="F90" s="789" t="s">
        <v>159</v>
      </c>
      <c r="G90" s="789"/>
      <c r="H90" s="789"/>
      <c r="I90" s="789"/>
      <c r="J90" s="553"/>
      <c r="K90" s="545"/>
      <c r="L90" s="582"/>
      <c r="M90" s="133"/>
      <c r="N90" s="93"/>
      <c r="O90" s="133"/>
      <c r="P90" s="133"/>
      <c r="Q90" s="547"/>
      <c r="R90" s="583"/>
    </row>
    <row r="91" spans="1:50" s="571" customFormat="1" ht="11.25" customHeight="1" x14ac:dyDescent="0.25">
      <c r="B91" s="129"/>
      <c r="C91" s="554"/>
      <c r="D91" s="133"/>
      <c r="E91" s="133"/>
      <c r="F91" s="428"/>
      <c r="G91" s="428"/>
      <c r="H91" s="428"/>
      <c r="I91" s="428"/>
      <c r="J91" s="553"/>
      <c r="K91" s="545"/>
      <c r="L91" s="582"/>
      <c r="M91" s="133"/>
      <c r="N91" s="93"/>
      <c r="O91" s="133"/>
      <c r="P91" s="133"/>
      <c r="Q91" s="547"/>
      <c r="R91" s="583"/>
    </row>
    <row r="92" spans="1:50" s="571" customFormat="1" ht="15" customHeight="1" x14ac:dyDescent="0.25">
      <c r="A92" s="790" t="s">
        <v>53</v>
      </c>
      <c r="B92" s="790"/>
      <c r="C92" s="790"/>
      <c r="D92" s="790"/>
      <c r="E92" s="790"/>
      <c r="F92" s="790"/>
      <c r="G92" s="791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791"/>
      <c r="I92" s="791"/>
      <c r="J92" s="553"/>
      <c r="K92" s="545"/>
      <c r="L92" s="582"/>
      <c r="M92" s="93"/>
      <c r="N92" s="93"/>
      <c r="O92" s="133"/>
      <c r="P92" s="133"/>
      <c r="Q92" s="547"/>
      <c r="R92" s="583"/>
    </row>
    <row r="93" spans="1:50" s="571" customFormat="1" ht="12" customHeight="1" x14ac:dyDescent="0.25">
      <c r="A93" s="586"/>
      <c r="B93" s="586"/>
      <c r="C93" s="586"/>
      <c r="D93" s="586"/>
      <c r="E93" s="586"/>
      <c r="F93" s="586"/>
      <c r="G93" s="587"/>
      <c r="H93" s="587"/>
      <c r="I93" s="361"/>
      <c r="J93" s="553"/>
      <c r="K93" s="545"/>
      <c r="L93" s="582"/>
      <c r="M93" s="93"/>
      <c r="N93" s="93"/>
      <c r="O93" s="133"/>
      <c r="P93" s="133"/>
      <c r="Q93" s="547"/>
      <c r="R93" s="583"/>
    </row>
    <row r="94" spans="1:50" s="571" customFormat="1" ht="5.25" customHeight="1" x14ac:dyDescent="0.3">
      <c r="A94" s="451"/>
      <c r="B94" s="129"/>
      <c r="C94" s="134"/>
      <c r="D94" s="554"/>
      <c r="E94" s="554"/>
      <c r="F94" s="554"/>
      <c r="G94" s="554"/>
      <c r="H94" s="588"/>
      <c r="I94" s="554"/>
      <c r="J94" s="553"/>
      <c r="K94" s="545"/>
      <c r="L94" s="133" t="str">
        <f>IF(ЭЗ!E339&lt;&gt;"",ЭЗ!E339,"")</f>
        <v/>
      </c>
      <c r="M94" s="133"/>
      <c r="N94" s="589"/>
      <c r="O94" s="93"/>
      <c r="P94" s="93"/>
      <c r="Q94" s="547"/>
      <c r="R94" s="584"/>
    </row>
    <row r="95" spans="1:50" s="571" customFormat="1" ht="15.75" customHeight="1" x14ac:dyDescent="0.3">
      <c r="B95" s="809"/>
      <c r="C95" s="809"/>
      <c r="D95" s="809"/>
      <c r="E95" s="809"/>
      <c r="F95" s="809"/>
      <c r="G95" s="809"/>
      <c r="H95" s="809"/>
      <c r="I95" s="809"/>
      <c r="J95" s="590"/>
      <c r="K95" s="545"/>
      <c r="L95" s="582"/>
      <c r="M95" s="93"/>
      <c r="N95" s="589"/>
      <c r="O95" s="591"/>
      <c r="P95" s="592"/>
      <c r="Q95" s="547"/>
      <c r="R95" s="418"/>
    </row>
    <row r="96" spans="1:50" s="571" customFormat="1" ht="15.6" x14ac:dyDescent="0.3">
      <c r="A96" s="451"/>
      <c r="B96" s="1069" t="s">
        <v>562</v>
      </c>
      <c r="C96" s="1069"/>
      <c r="D96" s="1069"/>
      <c r="E96" s="1069"/>
      <c r="F96" s="1069"/>
      <c r="G96" s="1069"/>
      <c r="H96" s="1069"/>
      <c r="I96" s="1069"/>
      <c r="J96" s="553"/>
      <c r="K96" s="545"/>
      <c r="L96" s="133" t="str">
        <f>IF(ЭЗ!E340&lt;&gt;"",ЭЗ!E340,"")</f>
        <v/>
      </c>
      <c r="M96" s="133"/>
      <c r="N96" s="589"/>
      <c r="O96" s="594"/>
      <c r="P96" s="595"/>
      <c r="Q96" s="547"/>
      <c r="R96" s="418"/>
    </row>
    <row r="97" spans="1:18" s="571" customFormat="1" ht="1.5" customHeight="1" x14ac:dyDescent="0.3">
      <c r="A97" s="596" t="s">
        <v>169</v>
      </c>
      <c r="B97" s="593"/>
      <c r="C97" s="593"/>
      <c r="D97" s="593"/>
      <c r="E97" s="593"/>
      <c r="F97" s="593"/>
      <c r="G97" s="593"/>
      <c r="H97" s="593"/>
      <c r="I97" s="593"/>
      <c r="J97" s="553"/>
      <c r="K97" s="545"/>
      <c r="L97" s="133"/>
      <c r="M97" s="133"/>
      <c r="N97" s="577"/>
      <c r="O97" s="594"/>
      <c r="P97" s="595"/>
      <c r="Q97" s="547"/>
      <c r="R97" s="418"/>
    </row>
    <row r="98" spans="1:18" s="571" customFormat="1" ht="15.6" x14ac:dyDescent="0.25">
      <c r="A98" s="597" t="s">
        <v>563</v>
      </c>
      <c r="C98" s="135"/>
      <c r="E98" s="598"/>
      <c r="F98" s="579" t="str">
        <f>IF('общие сведения'!K25&lt;&gt;"",'общие сведения'!K25,"")</f>
        <v/>
      </c>
      <c r="J98" s="568"/>
      <c r="K98" s="545"/>
      <c r="L98" s="582"/>
      <c r="M98" s="93"/>
      <c r="N98" s="587"/>
      <c r="O98" s="361"/>
      <c r="P98" s="581"/>
      <c r="Q98" s="547"/>
      <c r="R98" s="418"/>
    </row>
    <row r="99" spans="1:18" s="571" customFormat="1" ht="15.6" x14ac:dyDescent="0.3">
      <c r="B99" s="361"/>
      <c r="C99" s="554"/>
      <c r="D99" s="997" t="s">
        <v>158</v>
      </c>
      <c r="E99" s="997"/>
      <c r="F99" s="997" t="s">
        <v>159</v>
      </c>
      <c r="G99" s="997"/>
      <c r="H99" s="997"/>
      <c r="I99" s="997"/>
      <c r="J99" s="553"/>
      <c r="K99" s="545"/>
      <c r="L99" s="582"/>
      <c r="M99" s="589"/>
      <c r="N99" s="587"/>
      <c r="O99" s="587"/>
      <c r="P99" s="587"/>
      <c r="Q99" s="547"/>
      <c r="R99" s="587"/>
    </row>
    <row r="100" spans="1:18" s="546" customFormat="1" ht="1.5" customHeight="1" x14ac:dyDescent="0.25">
      <c r="A100" s="129"/>
      <c r="B100" s="350"/>
      <c r="C100" s="350"/>
      <c r="D100" s="554"/>
      <c r="E100" s="555"/>
      <c r="F100" s="555"/>
      <c r="G100" s="555"/>
      <c r="H100" s="555"/>
      <c r="I100" s="555"/>
      <c r="J100" s="553"/>
      <c r="K100" s="545"/>
      <c r="Q100" s="547"/>
      <c r="R100" s="548"/>
    </row>
    <row r="101" spans="1:18" s="438" customFormat="1" ht="13.5" customHeight="1" x14ac:dyDescent="0.25">
      <c r="A101" s="800" t="s">
        <v>519</v>
      </c>
      <c r="B101" s="800"/>
      <c r="C101" s="800"/>
      <c r="D101" s="800"/>
      <c r="E101" s="800"/>
      <c r="F101" s="800"/>
      <c r="G101" s="800"/>
      <c r="H101" s="800"/>
      <c r="I101" s="800"/>
      <c r="J101" s="800"/>
      <c r="K101" s="437"/>
    </row>
    <row r="102" spans="1:18" s="438" customFormat="1" ht="28.5" customHeight="1" x14ac:dyDescent="0.25">
      <c r="A102" s="1062" t="s">
        <v>573</v>
      </c>
      <c r="B102" s="1062"/>
      <c r="C102" s="1062"/>
      <c r="D102" s="1062"/>
      <c r="E102" s="1062"/>
      <c r="F102" s="1062"/>
      <c r="G102" s="1062"/>
      <c r="H102" s="1062"/>
      <c r="I102" s="1062"/>
      <c r="J102" s="1062"/>
      <c r="K102" s="437"/>
      <c r="L102" s="447"/>
      <c r="M102" s="447"/>
      <c r="N102" s="447"/>
      <c r="O102" s="447"/>
    </row>
    <row r="103" spans="1:18" s="6" customFormat="1" ht="20.25" customHeight="1" x14ac:dyDescent="0.25">
      <c r="A103" s="4" t="s">
        <v>564</v>
      </c>
      <c r="B103" s="837" t="s">
        <v>394</v>
      </c>
      <c r="C103" s="837"/>
      <c r="D103" s="837"/>
      <c r="E103" s="837"/>
      <c r="F103" s="837"/>
      <c r="G103" s="837"/>
      <c r="H103" s="837"/>
      <c r="I103" s="837"/>
      <c r="J103" s="347"/>
      <c r="K103" s="355"/>
      <c r="L103" s="447"/>
      <c r="M103" s="448"/>
      <c r="N103" s="450" t="s">
        <v>508</v>
      </c>
      <c r="O103" s="449">
        <f>SUM(L104:L148)</f>
        <v>0</v>
      </c>
    </row>
    <row r="104" spans="1:18" s="6" customFormat="1" ht="15.75" customHeight="1" x14ac:dyDescent="0.25">
      <c r="A104" s="349" t="s">
        <v>391</v>
      </c>
      <c r="B104" s="350"/>
      <c r="C104" s="346"/>
      <c r="D104" s="346"/>
      <c r="E104" s="346"/>
      <c r="F104" s="346"/>
      <c r="G104" s="346"/>
      <c r="H104" s="346"/>
      <c r="I104" s="346"/>
      <c r="J104" s="348"/>
      <c r="K104" s="355"/>
      <c r="L104" s="447"/>
      <c r="M104" s="447"/>
      <c r="N104" s="447"/>
      <c r="O104" s="447"/>
    </row>
    <row r="105" spans="1:18" ht="15" customHeight="1" x14ac:dyDescent="0.25">
      <c r="A105" s="8" t="s">
        <v>151</v>
      </c>
      <c r="B105" s="786" t="s">
        <v>392</v>
      </c>
      <c r="C105" s="786"/>
      <c r="D105" s="786"/>
      <c r="E105" s="786"/>
      <c r="F105" s="786"/>
      <c r="G105" s="786"/>
      <c r="H105" s="786"/>
      <c r="I105" s="786"/>
      <c r="J105" s="786"/>
      <c r="K105" s="354"/>
      <c r="L105" s="447"/>
      <c r="M105" s="447"/>
      <c r="N105" s="447"/>
      <c r="O105" s="447"/>
    </row>
    <row r="106" spans="1:18" x14ac:dyDescent="0.25">
      <c r="B106" s="786"/>
      <c r="C106" s="786"/>
      <c r="D106" s="786"/>
      <c r="E106" s="786"/>
      <c r="F106" s="786"/>
      <c r="G106" s="786"/>
      <c r="H106" s="786"/>
      <c r="I106" s="786"/>
      <c r="J106" s="786"/>
      <c r="K106" s="354"/>
      <c r="L106" s="3"/>
      <c r="M106" s="3"/>
      <c r="N106" s="3"/>
      <c r="O106" s="3"/>
    </row>
    <row r="107" spans="1:18" ht="15" customHeight="1" x14ac:dyDescent="0.25">
      <c r="B107" s="786"/>
      <c r="C107" s="786"/>
      <c r="D107" s="786"/>
      <c r="E107" s="786"/>
      <c r="F107" s="786"/>
      <c r="G107" s="786"/>
      <c r="H107" s="786"/>
      <c r="I107" s="786"/>
      <c r="J107" s="786"/>
      <c r="K107" s="354"/>
      <c r="L107" s="3"/>
      <c r="M107" s="3"/>
      <c r="N107" s="3"/>
      <c r="O107" s="3"/>
    </row>
    <row r="108" spans="1:18" ht="11.25" customHeight="1" x14ac:dyDescent="0.25">
      <c r="A108" s="8" t="s">
        <v>151</v>
      </c>
      <c r="B108" s="786" t="s">
        <v>393</v>
      </c>
      <c r="C108" s="786"/>
      <c r="D108" s="786"/>
      <c r="E108" s="786"/>
      <c r="F108" s="786"/>
      <c r="G108" s="786"/>
      <c r="H108" s="786"/>
      <c r="I108" s="786"/>
      <c r="J108" s="786"/>
      <c r="K108" s="354"/>
      <c r="L108" s="3"/>
      <c r="M108" s="3"/>
      <c r="N108" s="3"/>
      <c r="O108" s="3"/>
    </row>
    <row r="109" spans="1:18" ht="10.5" customHeight="1" x14ac:dyDescent="0.25">
      <c r="A109" s="9"/>
      <c r="B109" s="786"/>
      <c r="C109" s="786"/>
      <c r="D109" s="786"/>
      <c r="E109" s="786"/>
      <c r="F109" s="786"/>
      <c r="G109" s="786"/>
      <c r="H109" s="786"/>
      <c r="I109" s="786"/>
      <c r="J109" s="786"/>
      <c r="K109" s="354"/>
      <c r="L109" s="3"/>
      <c r="M109" s="3"/>
      <c r="N109" s="3"/>
      <c r="O109" s="3"/>
    </row>
    <row r="110" spans="1:18" ht="7.5" customHeight="1" x14ac:dyDescent="0.25">
      <c r="A110" s="9"/>
      <c r="B110" s="786"/>
      <c r="C110" s="786"/>
      <c r="D110" s="786"/>
      <c r="E110" s="786"/>
      <c r="F110" s="786"/>
      <c r="G110" s="786"/>
      <c r="H110" s="786"/>
      <c r="I110" s="786"/>
      <c r="J110" s="786"/>
      <c r="K110" s="354"/>
      <c r="L110" s="3"/>
      <c r="M110" s="3"/>
      <c r="N110" s="3"/>
      <c r="O110" s="3"/>
    </row>
    <row r="111" spans="1:18" ht="2.25" customHeight="1" x14ac:dyDescent="0.25">
      <c r="A111" s="9"/>
      <c r="B111" s="786"/>
      <c r="C111" s="786"/>
      <c r="D111" s="786"/>
      <c r="E111" s="786"/>
      <c r="F111" s="786"/>
      <c r="G111" s="786"/>
      <c r="H111" s="786"/>
      <c r="I111" s="786"/>
      <c r="J111" s="786"/>
      <c r="K111" s="354"/>
      <c r="L111" s="3"/>
      <c r="M111" s="3"/>
      <c r="N111" s="3"/>
      <c r="O111" s="3"/>
    </row>
    <row r="112" spans="1:18" ht="2.25" customHeight="1" x14ac:dyDescent="0.25">
      <c r="A112" s="371"/>
      <c r="B112" s="1166"/>
      <c r="C112" s="1166"/>
      <c r="D112" s="1166"/>
      <c r="E112" s="1166"/>
      <c r="F112" s="1166"/>
      <c r="G112" s="1166"/>
      <c r="H112" s="1166"/>
      <c r="I112" s="1166"/>
      <c r="J112" s="1166"/>
      <c r="K112" s="354"/>
      <c r="L112" s="3"/>
      <c r="M112" s="3"/>
      <c r="N112" s="3"/>
      <c r="O112" s="3"/>
    </row>
    <row r="113" spans="1:18" ht="8.25" customHeight="1" x14ac:dyDescent="0.25">
      <c r="A113" s="372"/>
      <c r="B113" s="1166"/>
      <c r="C113" s="1166"/>
      <c r="D113" s="1166"/>
      <c r="E113" s="1166"/>
      <c r="F113" s="1166"/>
      <c r="G113" s="1166"/>
      <c r="H113" s="1166"/>
      <c r="I113" s="1166"/>
      <c r="J113" s="1166"/>
      <c r="K113" s="356"/>
      <c r="L113" s="3"/>
      <c r="M113" s="3"/>
      <c r="N113" s="3"/>
      <c r="O113" s="3"/>
    </row>
    <row r="114" spans="1:18" ht="13.2" x14ac:dyDescent="0.25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56"/>
      <c r="L114" s="3"/>
      <c r="M114" s="3"/>
      <c r="N114" s="3"/>
      <c r="O114" s="3"/>
    </row>
    <row r="115" spans="1:18" ht="15.9" customHeight="1" x14ac:dyDescent="0.25">
      <c r="A115" s="921" t="s">
        <v>168</v>
      </c>
      <c r="B115" s="828" t="s">
        <v>127</v>
      </c>
      <c r="C115" s="829"/>
      <c r="D115" s="830"/>
      <c r="E115" s="742" t="s">
        <v>128</v>
      </c>
      <c r="F115" s="743"/>
      <c r="G115" s="743"/>
      <c r="H115" s="743"/>
      <c r="I115" s="743"/>
      <c r="J115" s="744"/>
      <c r="K115" s="356"/>
      <c r="L115" s="155"/>
      <c r="M115" s="50" t="s">
        <v>170</v>
      </c>
      <c r="N115" s="46"/>
      <c r="O115" s="139" t="s">
        <v>63</v>
      </c>
    </row>
    <row r="116" spans="1:18" ht="12.75" customHeight="1" x14ac:dyDescent="0.25">
      <c r="A116" s="922"/>
      <c r="B116" s="831"/>
      <c r="C116" s="832"/>
      <c r="D116" s="833"/>
      <c r="E116" s="745" t="s">
        <v>137</v>
      </c>
      <c r="F116" s="746"/>
      <c r="G116" s="746"/>
      <c r="H116" s="746"/>
      <c r="I116" s="746"/>
      <c r="J116" s="747"/>
      <c r="K116" s="354"/>
      <c r="M116" s="51"/>
      <c r="N116" s="51" t="s">
        <v>171</v>
      </c>
      <c r="O116" s="140"/>
    </row>
    <row r="117" spans="1:18" ht="12.75" customHeight="1" x14ac:dyDescent="0.25">
      <c r="A117" s="923"/>
      <c r="B117" s="834"/>
      <c r="C117" s="835"/>
      <c r="D117" s="836"/>
      <c r="E117" s="1136">
        <v>0</v>
      </c>
      <c r="F117" s="1136"/>
      <c r="G117" s="768" t="s">
        <v>406</v>
      </c>
      <c r="H117" s="769"/>
      <c r="I117" s="768" t="s">
        <v>56</v>
      </c>
      <c r="J117" s="770"/>
      <c r="K117" s="354"/>
      <c r="M117" s="3"/>
      <c r="N117" s="3"/>
      <c r="O117" s="3"/>
      <c r="P117" s="52"/>
    </row>
    <row r="118" spans="1:18" ht="106.5" customHeight="1" x14ac:dyDescent="0.25">
      <c r="A118" s="932" t="s">
        <v>407</v>
      </c>
      <c r="B118" s="771" t="s">
        <v>589</v>
      </c>
      <c r="C118" s="772"/>
      <c r="D118" s="773"/>
      <c r="E118" s="781" t="s">
        <v>297</v>
      </c>
      <c r="F118" s="1158"/>
      <c r="G118" s="781" t="s">
        <v>298</v>
      </c>
      <c r="H118" s="1158"/>
      <c r="I118" s="781" t="s">
        <v>299</v>
      </c>
      <c r="J118" s="782"/>
      <c r="K118" s="354"/>
      <c r="M118" s="3"/>
      <c r="N118" s="3"/>
      <c r="O118" s="3"/>
    </row>
    <row r="119" spans="1:18" ht="12.75" customHeight="1" x14ac:dyDescent="0.25">
      <c r="A119" s="933"/>
      <c r="B119" s="774"/>
      <c r="C119" s="775"/>
      <c r="D119" s="776"/>
      <c r="E119" s="754" t="str">
        <f>IF(AND(G119="",I119=""),IF(fio="","",0),"")</f>
        <v/>
      </c>
      <c r="F119" s="755"/>
      <c r="G119" s="821"/>
      <c r="H119" s="755"/>
      <c r="I119" s="821"/>
      <c r="J119" s="755"/>
      <c r="K119" s="354"/>
      <c r="L119" s="36">
        <f>MAX(E119:J120)</f>
        <v>0</v>
      </c>
      <c r="M119" s="47">
        <v>150</v>
      </c>
      <c r="N119" s="48"/>
    </row>
    <row r="120" spans="1:18" ht="12.75" customHeight="1" x14ac:dyDescent="0.25">
      <c r="A120" s="934"/>
      <c r="B120" s="1034"/>
      <c r="C120" s="1035"/>
      <c r="D120" s="1036"/>
      <c r="E120" s="756"/>
      <c r="F120" s="757"/>
      <c r="G120" s="756"/>
      <c r="H120" s="757"/>
      <c r="I120" s="756"/>
      <c r="J120" s="757"/>
      <c r="K120" s="354"/>
      <c r="M120" s="47"/>
      <c r="N120" s="48"/>
    </row>
    <row r="121" spans="1:18" ht="47.25" customHeight="1" x14ac:dyDescent="0.25">
      <c r="A121" s="1079" t="s">
        <v>408</v>
      </c>
      <c r="B121" s="771" t="s">
        <v>590</v>
      </c>
      <c r="C121" s="772"/>
      <c r="D121" s="773"/>
      <c r="E121" s="781" t="s">
        <v>26</v>
      </c>
      <c r="F121" s="782"/>
      <c r="G121" s="822" t="s">
        <v>301</v>
      </c>
      <c r="H121" s="822"/>
      <c r="I121" s="781" t="s">
        <v>302</v>
      </c>
      <c r="J121" s="782"/>
      <c r="K121" s="354"/>
      <c r="M121" s="47"/>
      <c r="N121" s="48"/>
      <c r="O121" s="3"/>
      <c r="R121" s="175"/>
    </row>
    <row r="122" spans="1:18" ht="12.75" customHeight="1" x14ac:dyDescent="0.25">
      <c r="A122" s="1080"/>
      <c r="B122" s="774"/>
      <c r="C122" s="775"/>
      <c r="D122" s="776"/>
      <c r="E122" s="750" t="str">
        <f>IF(AND(G122="",I122=""),IF(fio="","",0),"")</f>
        <v/>
      </c>
      <c r="F122" s="751"/>
      <c r="G122" s="821"/>
      <c r="H122" s="755"/>
      <c r="I122" s="821"/>
      <c r="J122" s="755"/>
      <c r="K122" s="354"/>
      <c r="L122" s="36">
        <f>MAX(E122:J123)</f>
        <v>0</v>
      </c>
      <c r="M122" s="47">
        <v>100</v>
      </c>
      <c r="N122" s="48"/>
      <c r="O122" s="3"/>
      <c r="R122" s="175"/>
    </row>
    <row r="123" spans="1:18" ht="12.75" customHeight="1" x14ac:dyDescent="0.25">
      <c r="A123" s="1081"/>
      <c r="B123" s="1034"/>
      <c r="C123" s="1035"/>
      <c r="D123" s="1036"/>
      <c r="E123" s="752"/>
      <c r="F123" s="753"/>
      <c r="G123" s="756"/>
      <c r="H123" s="757"/>
      <c r="I123" s="756"/>
      <c r="J123" s="757"/>
      <c r="K123" s="354"/>
      <c r="M123" s="47"/>
      <c r="N123" s="48"/>
      <c r="O123" s="3"/>
      <c r="R123" s="175"/>
    </row>
    <row r="124" spans="1:18" ht="48" customHeight="1" x14ac:dyDescent="0.25">
      <c r="A124" s="1079" t="s">
        <v>409</v>
      </c>
      <c r="B124" s="771" t="s">
        <v>591</v>
      </c>
      <c r="C124" s="772"/>
      <c r="D124" s="773"/>
      <c r="E124" s="781" t="s">
        <v>25</v>
      </c>
      <c r="F124" s="782"/>
      <c r="G124" s="781" t="s">
        <v>411</v>
      </c>
      <c r="H124" s="782"/>
      <c r="I124" s="781" t="s">
        <v>412</v>
      </c>
      <c r="J124" s="782"/>
      <c r="K124" s="354"/>
      <c r="M124" s="47"/>
      <c r="N124" s="48"/>
      <c r="O124" s="3"/>
      <c r="R124" s="175"/>
    </row>
    <row r="125" spans="1:18" ht="12.75" customHeight="1" x14ac:dyDescent="0.25">
      <c r="A125" s="1080"/>
      <c r="B125" s="774"/>
      <c r="C125" s="775"/>
      <c r="D125" s="776"/>
      <c r="E125" s="750" t="str">
        <f>IF(AND(G125="",I125=""),IF(fio="","",0),"")</f>
        <v/>
      </c>
      <c r="F125" s="751"/>
      <c r="G125" s="821"/>
      <c r="H125" s="1159"/>
      <c r="I125" s="821"/>
      <c r="J125" s="1159"/>
      <c r="K125" s="354"/>
      <c r="L125" s="36">
        <f>MAX(E125:J126)</f>
        <v>0</v>
      </c>
      <c r="M125" s="47">
        <v>100</v>
      </c>
      <c r="N125" s="48"/>
      <c r="O125" s="3"/>
      <c r="R125" s="175"/>
    </row>
    <row r="126" spans="1:18" ht="12.75" customHeight="1" x14ac:dyDescent="0.25">
      <c r="A126" s="1081"/>
      <c r="B126" s="1034"/>
      <c r="C126" s="1035"/>
      <c r="D126" s="1036"/>
      <c r="E126" s="752"/>
      <c r="F126" s="753"/>
      <c r="G126" s="1160"/>
      <c r="H126" s="1161"/>
      <c r="I126" s="1160"/>
      <c r="J126" s="1161"/>
      <c r="K126" s="354"/>
      <c r="M126" s="47"/>
      <c r="N126" s="48"/>
      <c r="O126" s="3"/>
      <c r="R126" s="175"/>
    </row>
    <row r="127" spans="1:18" ht="14.25" customHeight="1" x14ac:dyDescent="0.25">
      <c r="A127" s="1132" t="s">
        <v>168</v>
      </c>
      <c r="B127" s="828" t="s">
        <v>127</v>
      </c>
      <c r="C127" s="829"/>
      <c r="D127" s="829"/>
      <c r="E127" s="830"/>
      <c r="F127" s="762" t="s">
        <v>128</v>
      </c>
      <c r="G127" s="763"/>
      <c r="H127" s="763"/>
      <c r="I127" s="763"/>
      <c r="J127" s="764"/>
      <c r="K127" s="354"/>
      <c r="M127" s="47"/>
      <c r="N127" s="48"/>
      <c r="O127" s="3"/>
      <c r="R127" s="175"/>
    </row>
    <row r="128" spans="1:18" ht="12.75" customHeight="1" x14ac:dyDescent="0.25">
      <c r="A128" s="1133"/>
      <c r="B128" s="831"/>
      <c r="C128" s="832"/>
      <c r="D128" s="832"/>
      <c r="E128" s="833"/>
      <c r="F128" s="765" t="s">
        <v>300</v>
      </c>
      <c r="G128" s="766"/>
      <c r="H128" s="766"/>
      <c r="I128" s="766"/>
      <c r="J128" s="767"/>
      <c r="K128" s="354"/>
      <c r="M128" s="47"/>
      <c r="N128" s="48"/>
      <c r="O128" s="3"/>
      <c r="R128" s="175"/>
    </row>
    <row r="129" spans="1:18" ht="12.75" customHeight="1" x14ac:dyDescent="0.25">
      <c r="A129" s="1134"/>
      <c r="B129" s="834"/>
      <c r="C129" s="835"/>
      <c r="D129" s="835"/>
      <c r="E129" s="836"/>
      <c r="F129" s="239">
        <v>0</v>
      </c>
      <c r="G129" s="768" t="s">
        <v>443</v>
      </c>
      <c r="H129" s="769"/>
      <c r="I129" s="768" t="s">
        <v>442</v>
      </c>
      <c r="J129" s="770"/>
      <c r="K129" s="354"/>
      <c r="M129" s="47"/>
      <c r="N129" s="48"/>
      <c r="O129" s="3"/>
      <c r="R129" s="175"/>
    </row>
    <row r="130" spans="1:18" ht="26.25" customHeight="1" x14ac:dyDescent="0.25">
      <c r="A130" s="1079" t="s">
        <v>413</v>
      </c>
      <c r="B130" s="771" t="s">
        <v>27</v>
      </c>
      <c r="C130" s="772"/>
      <c r="D130" s="772"/>
      <c r="E130" s="773"/>
      <c r="F130" s="781" t="s">
        <v>415</v>
      </c>
      <c r="G130" s="1167"/>
      <c r="H130" s="1167"/>
      <c r="I130" s="1167"/>
      <c r="J130" s="782"/>
      <c r="K130" s="354"/>
      <c r="M130" s="47"/>
      <c r="N130" s="48"/>
      <c r="O130" s="3"/>
      <c r="R130" s="175"/>
    </row>
    <row r="131" spans="1:18" ht="12.75" customHeight="1" x14ac:dyDescent="0.25">
      <c r="A131" s="1080"/>
      <c r="B131" s="774"/>
      <c r="C131" s="775"/>
      <c r="D131" s="775"/>
      <c r="E131" s="776"/>
      <c r="F131" s="1168" t="s">
        <v>416</v>
      </c>
      <c r="G131" s="1019" t="s">
        <v>417</v>
      </c>
      <c r="H131" s="1020"/>
      <c r="I131" s="1019" t="s">
        <v>418</v>
      </c>
      <c r="J131" s="1020"/>
      <c r="K131" s="354"/>
      <c r="M131" s="47"/>
      <c r="N131" s="48"/>
      <c r="O131" s="3"/>
      <c r="R131" s="175"/>
    </row>
    <row r="132" spans="1:18" ht="6.75" customHeight="1" x14ac:dyDescent="0.25">
      <c r="A132" s="1080"/>
      <c r="B132" s="774"/>
      <c r="C132" s="775"/>
      <c r="D132" s="775"/>
      <c r="E132" s="776"/>
      <c r="F132" s="1169"/>
      <c r="G132" s="1021"/>
      <c r="H132" s="1022"/>
      <c r="I132" s="1021"/>
      <c r="J132" s="1022"/>
      <c r="K132" s="354"/>
      <c r="M132" s="47"/>
      <c r="N132" s="48"/>
      <c r="O132" s="3"/>
      <c r="R132" s="175"/>
    </row>
    <row r="133" spans="1:18" ht="12.75" customHeight="1" x14ac:dyDescent="0.25">
      <c r="A133" s="1080"/>
      <c r="B133" s="1122" t="s">
        <v>422</v>
      </c>
      <c r="C133" s="1123"/>
      <c r="D133" s="1123"/>
      <c r="E133" s="1124"/>
      <c r="F133" s="1169"/>
      <c r="G133" s="1021"/>
      <c r="H133" s="1022"/>
      <c r="I133" s="1021"/>
      <c r="J133" s="1022"/>
      <c r="K133" s="354"/>
      <c r="M133" s="47"/>
      <c r="N133" s="48"/>
      <c r="O133" s="3"/>
      <c r="R133" s="175"/>
    </row>
    <row r="134" spans="1:18" ht="1.5" customHeight="1" x14ac:dyDescent="0.25">
      <c r="A134" s="1080"/>
      <c r="B134" s="1122"/>
      <c r="C134" s="1123"/>
      <c r="D134" s="1123"/>
      <c r="E134" s="1124"/>
      <c r="F134" s="1169"/>
      <c r="G134" s="1021"/>
      <c r="H134" s="1022"/>
      <c r="I134" s="1021"/>
      <c r="J134" s="1022"/>
      <c r="K134" s="354"/>
      <c r="M134" s="47"/>
      <c r="N134" s="48"/>
      <c r="O134" s="3"/>
      <c r="R134" s="175"/>
    </row>
    <row r="135" spans="1:18" ht="12.75" customHeight="1" x14ac:dyDescent="0.25">
      <c r="A135" s="1080"/>
      <c r="B135" s="1129" t="s">
        <v>147</v>
      </c>
      <c r="C135" s="1130"/>
      <c r="D135" s="1130"/>
      <c r="E135" s="1131"/>
      <c r="F135" s="1169"/>
      <c r="G135" s="1021"/>
      <c r="H135" s="1022"/>
      <c r="I135" s="1021"/>
      <c r="J135" s="1022"/>
      <c r="K135" s="354"/>
      <c r="M135" s="47"/>
      <c r="N135" s="48"/>
      <c r="O135" s="3"/>
      <c r="R135" s="175"/>
    </row>
    <row r="136" spans="1:18" ht="2.25" customHeight="1" x14ac:dyDescent="0.25">
      <c r="A136" s="1080"/>
      <c r="B136" s="1122" t="s">
        <v>426</v>
      </c>
      <c r="C136" s="1123"/>
      <c r="D136" s="1123"/>
      <c r="E136" s="1124"/>
      <c r="F136" s="1170"/>
      <c r="G136" s="1171"/>
      <c r="H136" s="1172"/>
      <c r="I136" s="1171"/>
      <c r="J136" s="1172"/>
      <c r="K136" s="354"/>
      <c r="M136" s="47"/>
      <c r="N136" s="48"/>
      <c r="O136" s="3"/>
      <c r="R136" s="175"/>
    </row>
    <row r="137" spans="1:18" ht="12.75" customHeight="1" x14ac:dyDescent="0.25">
      <c r="A137" s="1080"/>
      <c r="B137" s="1122"/>
      <c r="C137" s="1123"/>
      <c r="D137" s="1123"/>
      <c r="E137" s="1124"/>
      <c r="F137" s="819" t="str">
        <f>IF(AND(G137="",I137=""),IF(fio="","",0),"")</f>
        <v/>
      </c>
      <c r="G137" s="1128"/>
      <c r="H137" s="1128"/>
      <c r="I137" s="1128"/>
      <c r="J137" s="1128"/>
      <c r="K137" s="354"/>
      <c r="L137" s="36">
        <f>MAX(F137:J138)</f>
        <v>0</v>
      </c>
      <c r="M137" s="47">
        <v>100</v>
      </c>
      <c r="N137" s="48"/>
      <c r="O137" s="3"/>
      <c r="R137" s="175"/>
    </row>
    <row r="138" spans="1:18" ht="12.75" customHeight="1" x14ac:dyDescent="0.25">
      <c r="A138" s="1081"/>
      <c r="B138" s="1125"/>
      <c r="C138" s="1126"/>
      <c r="D138" s="1126"/>
      <c r="E138" s="1127"/>
      <c r="F138" s="820"/>
      <c r="G138" s="1128"/>
      <c r="H138" s="1128"/>
      <c r="I138" s="1128"/>
      <c r="J138" s="1128"/>
      <c r="K138" s="354"/>
      <c r="M138" s="47"/>
      <c r="N138" s="48"/>
      <c r="O138" s="3"/>
      <c r="R138" s="175"/>
    </row>
    <row r="139" spans="1:18" ht="12.75" customHeight="1" x14ac:dyDescent="0.25">
      <c r="A139" s="1079" t="s">
        <v>414</v>
      </c>
      <c r="B139" s="771" t="s">
        <v>423</v>
      </c>
      <c r="C139" s="772"/>
      <c r="D139" s="772"/>
      <c r="E139" s="773"/>
      <c r="F139" s="1079" t="s">
        <v>425</v>
      </c>
      <c r="G139" s="1162" t="s">
        <v>424</v>
      </c>
      <c r="H139" s="1163"/>
      <c r="I139" s="1019" t="s">
        <v>419</v>
      </c>
      <c r="J139" s="1020"/>
      <c r="K139" s="354"/>
      <c r="M139" s="47"/>
      <c r="N139" s="48"/>
      <c r="O139" s="3"/>
      <c r="R139" s="175"/>
    </row>
    <row r="140" spans="1:18" ht="12.75" customHeight="1" x14ac:dyDescent="0.25">
      <c r="A140" s="1080"/>
      <c r="B140" s="774"/>
      <c r="C140" s="775"/>
      <c r="D140" s="775"/>
      <c r="E140" s="776"/>
      <c r="F140" s="1080"/>
      <c r="G140" s="1164"/>
      <c r="H140" s="1165"/>
      <c r="I140" s="1021"/>
      <c r="J140" s="1022"/>
      <c r="K140" s="354"/>
      <c r="M140" s="47"/>
      <c r="N140" s="48"/>
      <c r="O140" s="3"/>
      <c r="R140" s="175"/>
    </row>
    <row r="141" spans="1:18" ht="12.75" customHeight="1" x14ac:dyDescent="0.25">
      <c r="A141" s="1080"/>
      <c r="B141" s="774"/>
      <c r="C141" s="775"/>
      <c r="D141" s="775"/>
      <c r="E141" s="776"/>
      <c r="F141" s="1080"/>
      <c r="G141" s="1164"/>
      <c r="H141" s="1165"/>
      <c r="I141" s="1021"/>
      <c r="J141" s="1022"/>
      <c r="K141" s="354"/>
      <c r="M141" s="47"/>
      <c r="N141" s="48"/>
      <c r="O141" s="3"/>
      <c r="R141" s="175"/>
    </row>
    <row r="142" spans="1:18" ht="8.25" customHeight="1" x14ac:dyDescent="0.25">
      <c r="A142" s="1080"/>
      <c r="B142" s="774"/>
      <c r="C142" s="775"/>
      <c r="D142" s="775"/>
      <c r="E142" s="776"/>
      <c r="F142" s="1080"/>
      <c r="G142" s="1023" t="s">
        <v>420</v>
      </c>
      <c r="H142" s="1024"/>
      <c r="I142" s="1023" t="s">
        <v>421</v>
      </c>
      <c r="J142" s="1024"/>
      <c r="K142" s="354"/>
      <c r="M142" s="47"/>
      <c r="N142" s="48"/>
      <c r="O142" s="3"/>
      <c r="R142" s="175"/>
    </row>
    <row r="143" spans="1:18" ht="12.75" customHeight="1" x14ac:dyDescent="0.25">
      <c r="A143" s="1080"/>
      <c r="B143" s="1122" t="s">
        <v>422</v>
      </c>
      <c r="C143" s="1123"/>
      <c r="D143" s="1123"/>
      <c r="E143" s="1124"/>
      <c r="F143" s="1080"/>
      <c r="G143" s="1023"/>
      <c r="H143" s="1024"/>
      <c r="I143" s="1023"/>
      <c r="J143" s="1024"/>
      <c r="K143" s="354"/>
      <c r="M143" s="47"/>
      <c r="N143" s="48"/>
      <c r="O143" s="3"/>
      <c r="R143" s="175"/>
    </row>
    <row r="144" spans="1:18" ht="13.5" customHeight="1" x14ac:dyDescent="0.25">
      <c r="A144" s="1080"/>
      <c r="B144" s="1129" t="s">
        <v>147</v>
      </c>
      <c r="C144" s="1130"/>
      <c r="D144" s="1130"/>
      <c r="E144" s="1131"/>
      <c r="F144" s="1080"/>
      <c r="G144" s="1023"/>
      <c r="H144" s="1024"/>
      <c r="I144" s="1023"/>
      <c r="J144" s="1024"/>
      <c r="K144" s="354"/>
      <c r="M144" s="47"/>
      <c r="N144" s="48"/>
      <c r="O144" s="3"/>
      <c r="R144" s="175"/>
    </row>
    <row r="145" spans="1:63" ht="5.25" customHeight="1" x14ac:dyDescent="0.25">
      <c r="A145" s="1080"/>
      <c r="B145" s="1122" t="s">
        <v>427</v>
      </c>
      <c r="C145" s="1123"/>
      <c r="D145" s="1123"/>
      <c r="E145" s="1124"/>
      <c r="F145" s="1081"/>
      <c r="G145" s="1025"/>
      <c r="H145" s="1026"/>
      <c r="I145" s="1025"/>
      <c r="J145" s="1026"/>
      <c r="K145" s="354"/>
      <c r="M145" s="47"/>
      <c r="N145" s="48"/>
      <c r="O145" s="3"/>
      <c r="R145" s="175"/>
    </row>
    <row r="146" spans="1:63" ht="12.75" customHeight="1" x14ac:dyDescent="0.25">
      <c r="A146" s="1080"/>
      <c r="B146" s="1122"/>
      <c r="C146" s="1123"/>
      <c r="D146" s="1123"/>
      <c r="E146" s="1124"/>
      <c r="F146" s="754" t="str">
        <f>IF(AND(G146="",I146=""),IF(fio="","",0),"")</f>
        <v/>
      </c>
      <c r="G146" s="1128"/>
      <c r="H146" s="1128"/>
      <c r="I146" s="1128"/>
      <c r="J146" s="1128"/>
      <c r="K146" s="354"/>
      <c r="L146" s="36">
        <f>MAX(F146:J147)</f>
        <v>0</v>
      </c>
      <c r="M146" s="47">
        <v>100</v>
      </c>
      <c r="N146" s="48"/>
      <c r="O146" s="3"/>
      <c r="R146" s="175"/>
    </row>
    <row r="147" spans="1:63" ht="12.75" customHeight="1" x14ac:dyDescent="0.25">
      <c r="A147" s="1081"/>
      <c r="B147" s="1125"/>
      <c r="C147" s="1126"/>
      <c r="D147" s="1126"/>
      <c r="E147" s="1127"/>
      <c r="F147" s="752"/>
      <c r="G147" s="1128"/>
      <c r="H147" s="1128"/>
      <c r="I147" s="1128"/>
      <c r="J147" s="1128"/>
      <c r="K147" s="354"/>
      <c r="M147" s="47"/>
      <c r="N147" s="48"/>
      <c r="O147" s="3"/>
      <c r="R147" s="175"/>
    </row>
    <row r="148" spans="1:63" ht="25.5" customHeight="1" x14ac:dyDescent="0.25">
      <c r="A148" s="242"/>
      <c r="B148" s="382"/>
      <c r="C148" s="382"/>
      <c r="D148" s="383"/>
      <c r="E148" s="381"/>
      <c r="F148" s="173"/>
      <c r="G148" s="173"/>
      <c r="H148" s="173"/>
      <c r="I148" s="173"/>
      <c r="J148" s="175"/>
      <c r="K148" s="354"/>
      <c r="L148" s="359"/>
      <c r="M148" s="359"/>
      <c r="N148" s="384"/>
      <c r="R148" s="175"/>
    </row>
    <row r="149" spans="1:63" s="385" customFormat="1" ht="35.25" customHeight="1" x14ac:dyDescent="0.25">
      <c r="A149" s="4" t="s">
        <v>509</v>
      </c>
      <c r="B149" s="837" t="s">
        <v>428</v>
      </c>
      <c r="C149" s="837"/>
      <c r="D149" s="837"/>
      <c r="E149" s="837"/>
      <c r="F149" s="837"/>
      <c r="G149" s="837"/>
      <c r="H149" s="837"/>
      <c r="I149" s="837"/>
      <c r="J149" s="175"/>
      <c r="K149" s="354"/>
      <c r="L149" s="359"/>
      <c r="M149" s="448"/>
      <c r="N149" s="450" t="s">
        <v>429</v>
      </c>
      <c r="O149" s="449">
        <f>SUM(L150:L212)</f>
        <v>0</v>
      </c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F149" s="386"/>
      <c r="BH149" s="387"/>
      <c r="BI149" s="388" t="s">
        <v>429</v>
      </c>
      <c r="BJ149" s="389">
        <f>SUM(BG150:BG384)</f>
        <v>0</v>
      </c>
      <c r="BK149" s="390"/>
    </row>
    <row r="150" spans="1:63" ht="15.75" customHeight="1" x14ac:dyDescent="0.25">
      <c r="A150" s="349" t="s">
        <v>391</v>
      </c>
      <c r="B150" s="3"/>
      <c r="C150" s="361"/>
      <c r="D150" s="362"/>
      <c r="E150" s="362"/>
      <c r="F150" s="362"/>
      <c r="G150" s="362"/>
      <c r="H150" s="362"/>
      <c r="I150" s="362"/>
      <c r="J150" s="175"/>
      <c r="K150" s="354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86"/>
      <c r="BG150" s="36"/>
      <c r="BH150" s="36"/>
      <c r="BI150" s="36"/>
      <c r="BJ150" s="139"/>
    </row>
    <row r="151" spans="1:63" ht="12.75" customHeight="1" x14ac:dyDescent="0.25">
      <c r="A151" s="363" t="s">
        <v>151</v>
      </c>
      <c r="B151" s="786" t="s">
        <v>430</v>
      </c>
      <c r="C151" s="786"/>
      <c r="D151" s="786"/>
      <c r="E151" s="786"/>
      <c r="F151" s="786"/>
      <c r="G151" s="786"/>
      <c r="H151" s="786"/>
      <c r="I151" s="786"/>
      <c r="J151" s="786"/>
      <c r="K151" s="354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F151" s="386"/>
      <c r="BG151" s="36"/>
      <c r="BH151" s="36"/>
      <c r="BI151" s="36"/>
      <c r="BJ151" s="139"/>
    </row>
    <row r="152" spans="1:63" ht="19.5" customHeight="1" x14ac:dyDescent="0.25">
      <c r="A152" s="363"/>
      <c r="B152" s="786"/>
      <c r="C152" s="786"/>
      <c r="D152" s="786"/>
      <c r="E152" s="786"/>
      <c r="F152" s="786"/>
      <c r="G152" s="786"/>
      <c r="H152" s="786"/>
      <c r="I152" s="786"/>
      <c r="J152" s="786"/>
      <c r="K152" s="354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F152" s="386"/>
      <c r="BG152" s="36"/>
      <c r="BH152" s="36"/>
      <c r="BI152" s="36"/>
      <c r="BJ152" s="139"/>
    </row>
    <row r="153" spans="1:63" ht="12.75" customHeight="1" x14ac:dyDescent="0.25">
      <c r="A153" s="363" t="s">
        <v>151</v>
      </c>
      <c r="B153" s="1121" t="s">
        <v>431</v>
      </c>
      <c r="C153" s="1121"/>
      <c r="D153" s="1121"/>
      <c r="E153" s="1121"/>
      <c r="F153" s="1121"/>
      <c r="G153" s="1121"/>
      <c r="H153" s="1121"/>
      <c r="I153" s="1121"/>
      <c r="J153" s="1121"/>
      <c r="K153" s="35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F153" s="386"/>
      <c r="BG153" s="36"/>
      <c r="BH153" s="36"/>
      <c r="BI153" s="36"/>
      <c r="BJ153" s="139"/>
    </row>
    <row r="154" spans="1:63" ht="12.75" customHeight="1" x14ac:dyDescent="0.25">
      <c r="A154" s="391"/>
      <c r="B154" s="1121"/>
      <c r="C154" s="1121"/>
      <c r="D154" s="1121"/>
      <c r="E154" s="1121"/>
      <c r="F154" s="1121"/>
      <c r="G154" s="1121"/>
      <c r="H154" s="1121"/>
      <c r="I154" s="1121"/>
      <c r="J154" s="1121"/>
      <c r="K154" s="35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  <c r="AP154" s="364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64"/>
      <c r="BF154" s="386"/>
      <c r="BG154" s="36"/>
      <c r="BJ154" s="139"/>
    </row>
    <row r="155" spans="1:63" ht="18" customHeight="1" x14ac:dyDescent="0.25">
      <c r="A155" s="392"/>
      <c r="B155" s="1121"/>
      <c r="C155" s="1121"/>
      <c r="D155" s="1121"/>
      <c r="E155" s="1121"/>
      <c r="F155" s="1121"/>
      <c r="G155" s="1121"/>
      <c r="H155" s="1121"/>
      <c r="I155" s="1121"/>
      <c r="J155" s="1121"/>
      <c r="K155" s="35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  <c r="AT155" s="364"/>
      <c r="AU155" s="364"/>
      <c r="AV155" s="364"/>
      <c r="AW155" s="364"/>
      <c r="AX155" s="364"/>
      <c r="AY155" s="364"/>
      <c r="AZ155" s="364"/>
      <c r="BA155" s="364"/>
      <c r="BB155" s="364"/>
      <c r="BC155" s="364"/>
      <c r="BD155" s="364"/>
      <c r="BF155" s="386"/>
      <c r="BG155" s="36"/>
      <c r="BJ155" s="139"/>
    </row>
    <row r="156" spans="1:63" s="390" customFormat="1" ht="13.2" x14ac:dyDescent="0.25">
      <c r="A156" s="393"/>
      <c r="B156" s="394"/>
      <c r="C156" s="395"/>
      <c r="D156" s="395"/>
      <c r="E156" s="395"/>
      <c r="F156" s="395"/>
      <c r="G156" s="395"/>
      <c r="H156" s="395"/>
      <c r="I156" s="395"/>
      <c r="J156" s="175"/>
      <c r="K156" s="354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5"/>
      <c r="BE156" s="395"/>
      <c r="BF156" s="386"/>
      <c r="BG156" s="396"/>
      <c r="BJ156" s="397"/>
    </row>
    <row r="157" spans="1:63" ht="12.75" customHeight="1" x14ac:dyDescent="0.25">
      <c r="A157" s="921" t="s">
        <v>168</v>
      </c>
      <c r="B157" s="828" t="s">
        <v>127</v>
      </c>
      <c r="C157" s="830"/>
      <c r="D157" s="941" t="s">
        <v>257</v>
      </c>
      <c r="E157" s="742" t="s">
        <v>128</v>
      </c>
      <c r="F157" s="743"/>
      <c r="G157" s="743"/>
      <c r="H157" s="743"/>
      <c r="I157" s="743"/>
      <c r="J157" s="744"/>
      <c r="K157" s="354"/>
      <c r="M157" s="37"/>
      <c r="N157" s="38"/>
    </row>
    <row r="158" spans="1:63" ht="13.2" x14ac:dyDescent="0.25">
      <c r="A158" s="922"/>
      <c r="B158" s="831"/>
      <c r="C158" s="833"/>
      <c r="D158" s="942"/>
      <c r="E158" s="745" t="s">
        <v>129</v>
      </c>
      <c r="F158" s="746"/>
      <c r="G158" s="746"/>
      <c r="H158" s="746"/>
      <c r="I158" s="746"/>
      <c r="J158" s="747"/>
      <c r="K158" s="354"/>
      <c r="M158" s="37"/>
      <c r="N158" s="38"/>
    </row>
    <row r="159" spans="1:63" ht="12.75" customHeight="1" x14ac:dyDescent="0.25">
      <c r="A159" s="923"/>
      <c r="B159" s="834"/>
      <c r="C159" s="836"/>
      <c r="D159" s="943"/>
      <c r="E159" s="11" t="s">
        <v>303</v>
      </c>
      <c r="F159" s="11" t="s">
        <v>183</v>
      </c>
      <c r="G159" s="11" t="s">
        <v>620</v>
      </c>
      <c r="H159" s="11" t="s">
        <v>266</v>
      </c>
      <c r="I159" s="11" t="s">
        <v>304</v>
      </c>
      <c r="J159" s="11" t="s">
        <v>305</v>
      </c>
      <c r="K159" s="354"/>
      <c r="M159" s="37"/>
      <c r="N159" s="38"/>
    </row>
    <row r="160" spans="1:63" ht="12.75" customHeight="1" x14ac:dyDescent="0.25">
      <c r="A160" s="938" t="s">
        <v>131</v>
      </c>
      <c r="B160" s="896" t="s">
        <v>410</v>
      </c>
      <c r="C160" s="977"/>
      <c r="D160" s="875" t="s">
        <v>277</v>
      </c>
      <c r="E160" s="629" t="s">
        <v>244</v>
      </c>
      <c r="F160" s="628" t="s">
        <v>306</v>
      </c>
      <c r="G160" s="623" t="s">
        <v>344</v>
      </c>
      <c r="H160" s="241" t="s">
        <v>307</v>
      </c>
      <c r="I160" s="628" t="s">
        <v>134</v>
      </c>
      <c r="J160" s="630" t="s">
        <v>311</v>
      </c>
      <c r="K160" s="354"/>
      <c r="M160" s="37"/>
      <c r="N160" s="38"/>
    </row>
    <row r="161" spans="1:14" ht="12.75" customHeight="1" x14ac:dyDescent="0.25">
      <c r="A161" s="939"/>
      <c r="B161" s="978"/>
      <c r="C161" s="979"/>
      <c r="D161" s="876"/>
      <c r="E161" s="631" t="s">
        <v>432</v>
      </c>
      <c r="F161" s="625" t="s">
        <v>133</v>
      </c>
      <c r="G161" s="624" t="s">
        <v>133</v>
      </c>
      <c r="H161" s="242" t="s">
        <v>133</v>
      </c>
      <c r="I161" s="1080" t="s">
        <v>133</v>
      </c>
      <c r="J161" s="1080" t="s">
        <v>133</v>
      </c>
      <c r="K161" s="354"/>
      <c r="M161" s="37"/>
      <c r="N161" s="38"/>
    </row>
    <row r="162" spans="1:14" ht="6" customHeight="1" x14ac:dyDescent="0.25">
      <c r="A162" s="939"/>
      <c r="B162" s="978"/>
      <c r="C162" s="979"/>
      <c r="D162" s="876"/>
      <c r="E162" s="631"/>
      <c r="F162" s="341"/>
      <c r="G162" s="624"/>
      <c r="H162" s="342"/>
      <c r="I162" s="1080"/>
      <c r="J162" s="1080"/>
      <c r="K162" s="354"/>
      <c r="M162" s="37"/>
      <c r="N162" s="38"/>
    </row>
    <row r="163" spans="1:14" ht="33.75" customHeight="1" x14ac:dyDescent="0.25">
      <c r="A163" s="939"/>
      <c r="B163" s="978"/>
      <c r="C163" s="979"/>
      <c r="D163" s="876"/>
      <c r="E163" s="335" t="s">
        <v>189</v>
      </c>
      <c r="F163" s="335" t="s">
        <v>189</v>
      </c>
      <c r="G163" s="335" t="s">
        <v>189</v>
      </c>
      <c r="H163" s="335" t="s">
        <v>189</v>
      </c>
      <c r="I163" s="335" t="s">
        <v>189</v>
      </c>
      <c r="J163" s="335" t="s">
        <v>189</v>
      </c>
      <c r="K163" s="354"/>
      <c r="M163" s="37"/>
      <c r="N163" s="38"/>
    </row>
    <row r="164" spans="1:14" ht="24" customHeight="1" x14ac:dyDescent="0.25">
      <c r="A164" s="939"/>
      <c r="B164" s="978"/>
      <c r="C164" s="979"/>
      <c r="D164" s="876"/>
      <c r="E164" s="1188" t="s">
        <v>373</v>
      </c>
      <c r="F164" s="243" t="s">
        <v>374</v>
      </c>
      <c r="G164" s="627" t="s">
        <v>609</v>
      </c>
      <c r="H164" s="338" t="s">
        <v>611</v>
      </c>
      <c r="I164" s="243" t="s">
        <v>375</v>
      </c>
      <c r="J164" s="339" t="s">
        <v>376</v>
      </c>
      <c r="K164" s="354"/>
      <c r="M164" s="37"/>
      <c r="N164" s="38"/>
    </row>
    <row r="165" spans="1:14" ht="36" x14ac:dyDescent="0.25">
      <c r="A165" s="939"/>
      <c r="B165" s="978"/>
      <c r="C165" s="979"/>
      <c r="D165" s="876"/>
      <c r="E165" s="1188"/>
      <c r="F165" s="243" t="s">
        <v>377</v>
      </c>
      <c r="G165" s="627" t="s">
        <v>621</v>
      </c>
      <c r="H165" s="338" t="s">
        <v>612</v>
      </c>
      <c r="I165" s="243" t="s">
        <v>378</v>
      </c>
      <c r="J165" s="1135" t="s">
        <v>308</v>
      </c>
      <c r="K165" s="354"/>
      <c r="M165" s="37"/>
      <c r="N165" s="38"/>
    </row>
    <row r="166" spans="1:14" ht="33" customHeight="1" x14ac:dyDescent="0.25">
      <c r="A166" s="939"/>
      <c r="B166" s="978"/>
      <c r="C166" s="979"/>
      <c r="D166" s="876"/>
      <c r="E166" s="626"/>
      <c r="F166" s="243" t="s">
        <v>309</v>
      </c>
      <c r="G166" s="632" t="s">
        <v>622</v>
      </c>
      <c r="H166" s="338" t="s">
        <v>610</v>
      </c>
      <c r="I166" s="243" t="s">
        <v>310</v>
      </c>
      <c r="J166" s="1135"/>
      <c r="K166" s="354"/>
      <c r="M166" s="37"/>
      <c r="N166" s="38"/>
    </row>
    <row r="167" spans="1:14" ht="24" x14ac:dyDescent="0.25">
      <c r="A167" s="939"/>
      <c r="B167" s="978"/>
      <c r="C167" s="979"/>
      <c r="D167" s="876"/>
      <c r="E167" s="340" t="s">
        <v>613</v>
      </c>
      <c r="F167" s="633" t="s">
        <v>614</v>
      </c>
      <c r="G167" s="634" t="s">
        <v>615</v>
      </c>
      <c r="H167" s="635" t="s">
        <v>616</v>
      </c>
      <c r="I167" s="633" t="s">
        <v>617</v>
      </c>
      <c r="J167" s="343" t="s">
        <v>618</v>
      </c>
      <c r="K167" s="354"/>
      <c r="M167" s="37"/>
      <c r="N167" s="38"/>
    </row>
    <row r="168" spans="1:14" ht="12.75" customHeight="1" x14ac:dyDescent="0.25">
      <c r="A168" s="939"/>
      <c r="B168" s="978"/>
      <c r="C168" s="979"/>
      <c r="D168" s="876"/>
      <c r="E168" s="865"/>
      <c r="F168" s="865"/>
      <c r="G168" s="870"/>
      <c r="H168" s="865"/>
      <c r="I168" s="865"/>
      <c r="J168" s="865"/>
      <c r="K168" s="354"/>
      <c r="L168" s="36">
        <f>SUM(E168:J169)</f>
        <v>0</v>
      </c>
      <c r="M168" s="37">
        <v>340</v>
      </c>
      <c r="N168" s="38"/>
    </row>
    <row r="169" spans="1:14" ht="12.75" customHeight="1" x14ac:dyDescent="0.25">
      <c r="A169" s="940"/>
      <c r="B169" s="980"/>
      <c r="C169" s="981"/>
      <c r="D169" s="877"/>
      <c r="E169" s="866"/>
      <c r="F169" s="866"/>
      <c r="G169" s="871"/>
      <c r="H169" s="866"/>
      <c r="I169" s="866"/>
      <c r="J169" s="866"/>
      <c r="K169" s="354"/>
      <c r="M169" s="37"/>
      <c r="N169" s="38"/>
    </row>
    <row r="170" spans="1:14" ht="12.75" customHeight="1" x14ac:dyDescent="0.25">
      <c r="A170" s="1070" t="s">
        <v>168</v>
      </c>
      <c r="B170" s="1073" t="s">
        <v>127</v>
      </c>
      <c r="C170" s="1118"/>
      <c r="D170" s="1109" t="s">
        <v>149</v>
      </c>
      <c r="E170" s="1110"/>
      <c r="F170" s="1111"/>
      <c r="G170" s="1082" t="s">
        <v>128</v>
      </c>
      <c r="H170" s="1083"/>
      <c r="I170" s="1083"/>
      <c r="J170" s="1084"/>
      <c r="K170" s="354"/>
      <c r="L170" s="19"/>
      <c r="M170" s="37"/>
      <c r="N170" s="38"/>
    </row>
    <row r="171" spans="1:14" ht="3.75" customHeight="1" x14ac:dyDescent="0.25">
      <c r="A171" s="1071"/>
      <c r="B171" s="1075"/>
      <c r="C171" s="1119"/>
      <c r="D171" s="1112"/>
      <c r="E171" s="1113"/>
      <c r="F171" s="1114"/>
      <c r="G171" s="1096"/>
      <c r="H171" s="1097"/>
      <c r="I171" s="1097"/>
      <c r="J171" s="1098"/>
      <c r="K171" s="354"/>
      <c r="L171" s="19"/>
      <c r="M171" s="37"/>
      <c r="N171" s="38"/>
    </row>
    <row r="172" spans="1:14" ht="13.2" x14ac:dyDescent="0.25">
      <c r="A172" s="1072"/>
      <c r="B172" s="1077"/>
      <c r="C172" s="1120"/>
      <c r="D172" s="1115"/>
      <c r="E172" s="1116"/>
      <c r="F172" s="1117"/>
      <c r="G172" s="1105">
        <v>0</v>
      </c>
      <c r="H172" s="1106"/>
      <c r="I172" s="1105">
        <v>300</v>
      </c>
      <c r="J172" s="1106"/>
      <c r="K172" s="354"/>
      <c r="L172" s="19"/>
      <c r="M172" s="37"/>
      <c r="N172" s="38"/>
    </row>
    <row r="173" spans="1:14" ht="12.75" customHeight="1" x14ac:dyDescent="0.25">
      <c r="A173" s="935" t="s">
        <v>138</v>
      </c>
      <c r="B173" s="1041" t="s">
        <v>439</v>
      </c>
      <c r="C173" s="1042"/>
      <c r="D173" s="1090" t="s">
        <v>518</v>
      </c>
      <c r="E173" s="1091"/>
      <c r="F173" s="1092"/>
      <c r="G173" s="1099" t="s">
        <v>281</v>
      </c>
      <c r="H173" s="1100"/>
      <c r="I173" s="1099" t="s">
        <v>433</v>
      </c>
      <c r="J173" s="1100"/>
      <c r="K173" s="354"/>
      <c r="L173" s="19"/>
      <c r="M173" s="37"/>
      <c r="N173" s="38"/>
    </row>
    <row r="174" spans="1:14" ht="12.75" customHeight="1" x14ac:dyDescent="0.25">
      <c r="A174" s="936"/>
      <c r="B174" s="1043"/>
      <c r="C174" s="1044"/>
      <c r="D174" s="1093"/>
      <c r="E174" s="1094"/>
      <c r="F174" s="1095"/>
      <c r="G174" s="1101"/>
      <c r="H174" s="1102"/>
      <c r="I174" s="1101"/>
      <c r="J174" s="1102"/>
      <c r="K174" s="354"/>
      <c r="L174" s="19"/>
      <c r="M174" s="37"/>
      <c r="N174" s="38"/>
    </row>
    <row r="175" spans="1:14" ht="8.25" customHeight="1" x14ac:dyDescent="0.25">
      <c r="A175" s="936"/>
      <c r="B175" s="1043"/>
      <c r="C175" s="1044"/>
      <c r="D175" s="1093"/>
      <c r="E175" s="1094"/>
      <c r="F175" s="1095"/>
      <c r="G175" s="1101"/>
      <c r="H175" s="1102"/>
      <c r="I175" s="1101"/>
      <c r="J175" s="1102"/>
      <c r="K175" s="354"/>
      <c r="L175" s="19"/>
      <c r="M175" s="37"/>
      <c r="N175" s="38"/>
    </row>
    <row r="176" spans="1:14" ht="3" customHeight="1" x14ac:dyDescent="0.25">
      <c r="A176" s="936"/>
      <c r="B176" s="1043"/>
      <c r="C176" s="1044"/>
      <c r="D176" s="1093"/>
      <c r="E176" s="1094"/>
      <c r="F176" s="1095"/>
      <c r="G176" s="1101"/>
      <c r="H176" s="1102"/>
      <c r="I176" s="1101"/>
      <c r="J176" s="1102"/>
      <c r="K176" s="354"/>
      <c r="L176" s="19"/>
      <c r="M176" s="37"/>
      <c r="N176" s="38"/>
    </row>
    <row r="177" spans="1:15" ht="4.5" customHeight="1" x14ac:dyDescent="0.25">
      <c r="A177" s="936"/>
      <c r="B177" s="1043"/>
      <c r="C177" s="1044"/>
      <c r="D177" s="1093"/>
      <c r="E177" s="1094"/>
      <c r="F177" s="1095"/>
      <c r="G177" s="1103"/>
      <c r="H177" s="1104"/>
      <c r="I177" s="1103"/>
      <c r="J177" s="1104"/>
      <c r="K177" s="354"/>
      <c r="L177" s="19"/>
      <c r="M177" s="37"/>
      <c r="N177" s="38"/>
    </row>
    <row r="178" spans="1:15" ht="12.75" customHeight="1" x14ac:dyDescent="0.25">
      <c r="A178" s="936"/>
      <c r="B178" s="1043"/>
      <c r="C178" s="1044"/>
      <c r="D178" s="1093"/>
      <c r="E178" s="1094"/>
      <c r="F178" s="1095"/>
      <c r="G178" s="1086" t="str">
        <f>IF(AND(I178=""),IF(fio="","",0),"")</f>
        <v/>
      </c>
      <c r="H178" s="1087"/>
      <c r="I178" s="1107"/>
      <c r="J178" s="739"/>
      <c r="K178" s="354"/>
      <c r="L178" s="36">
        <f>SUM(G178:J179)</f>
        <v>0</v>
      </c>
      <c r="M178" s="37"/>
      <c r="N178" s="38">
        <v>300</v>
      </c>
    </row>
    <row r="179" spans="1:15" ht="12.75" customHeight="1" x14ac:dyDescent="0.25">
      <c r="A179" s="937"/>
      <c r="B179" s="1039" t="s">
        <v>438</v>
      </c>
      <c r="C179" s="1040"/>
      <c r="D179" s="1096"/>
      <c r="E179" s="1097"/>
      <c r="F179" s="1098"/>
      <c r="G179" s="1088"/>
      <c r="H179" s="1089"/>
      <c r="I179" s="1108"/>
      <c r="J179" s="741"/>
      <c r="K179" s="354"/>
      <c r="M179" s="37"/>
      <c r="N179" s="38"/>
    </row>
    <row r="180" spans="1:15" ht="14.25" customHeight="1" x14ac:dyDescent="0.25">
      <c r="A180" s="1070" t="s">
        <v>168</v>
      </c>
      <c r="B180" s="1073" t="s">
        <v>127</v>
      </c>
      <c r="C180" s="1074"/>
      <c r="D180" s="1082" t="s">
        <v>128</v>
      </c>
      <c r="E180" s="1083"/>
      <c r="F180" s="1083"/>
      <c r="G180" s="1083"/>
      <c r="H180" s="1083"/>
      <c r="I180" s="1083"/>
      <c r="J180" s="1084"/>
      <c r="K180" s="354"/>
      <c r="L180" s="398"/>
      <c r="M180" s="399"/>
      <c r="N180" s="399"/>
      <c r="O180" s="3"/>
    </row>
    <row r="181" spans="1:15" ht="11.25" customHeight="1" x14ac:dyDescent="0.25">
      <c r="A181" s="1071"/>
      <c r="B181" s="1075"/>
      <c r="C181" s="1076"/>
      <c r="D181" s="1031" t="s">
        <v>312</v>
      </c>
      <c r="E181" s="1032"/>
      <c r="F181" s="1032"/>
      <c r="G181" s="1032"/>
      <c r="H181" s="1032"/>
      <c r="I181" s="1032"/>
      <c r="J181" s="1033"/>
      <c r="K181" s="354"/>
      <c r="L181" s="398"/>
      <c r="M181" s="399"/>
      <c r="N181" s="399"/>
      <c r="O181" s="3"/>
    </row>
    <row r="182" spans="1:15" ht="14.25" customHeight="1" x14ac:dyDescent="0.25">
      <c r="A182" s="1072"/>
      <c r="B182" s="1077"/>
      <c r="C182" s="1078"/>
      <c r="D182" s="400">
        <v>0</v>
      </c>
      <c r="E182" s="1037" t="s">
        <v>292</v>
      </c>
      <c r="F182" s="1038"/>
      <c r="G182" s="1037" t="s">
        <v>55</v>
      </c>
      <c r="H182" s="1038"/>
      <c r="I182" s="1037" t="s">
        <v>130</v>
      </c>
      <c r="J182" s="1038"/>
      <c r="K182" s="354"/>
      <c r="L182" s="398"/>
      <c r="M182" s="399"/>
      <c r="N182" s="399"/>
      <c r="O182" s="3"/>
    </row>
    <row r="183" spans="1:15" ht="12.75" customHeight="1" x14ac:dyDescent="0.25">
      <c r="A183" s="1047" t="s">
        <v>148</v>
      </c>
      <c r="B183" s="1041" t="s">
        <v>517</v>
      </c>
      <c r="C183" s="1050"/>
      <c r="D183" s="401" t="s">
        <v>313</v>
      </c>
      <c r="E183" s="734" t="s">
        <v>434</v>
      </c>
      <c r="F183" s="735"/>
      <c r="G183" s="734" t="s">
        <v>307</v>
      </c>
      <c r="H183" s="735"/>
      <c r="I183" s="736" t="s">
        <v>134</v>
      </c>
      <c r="J183" s="737"/>
      <c r="K183" s="354"/>
      <c r="L183" s="398"/>
      <c r="M183" s="399"/>
      <c r="N183" s="399"/>
      <c r="O183" s="3"/>
    </row>
    <row r="184" spans="1:15" ht="13.2" x14ac:dyDescent="0.25">
      <c r="A184" s="1048"/>
      <c r="B184" s="1051"/>
      <c r="C184" s="1052"/>
      <c r="D184" s="402"/>
      <c r="E184" s="734" t="s">
        <v>133</v>
      </c>
      <c r="F184" s="735"/>
      <c r="G184" s="734" t="s">
        <v>133</v>
      </c>
      <c r="H184" s="735"/>
      <c r="I184" s="734" t="s">
        <v>133</v>
      </c>
      <c r="J184" s="735"/>
      <c r="K184" s="354"/>
      <c r="L184" s="398"/>
      <c r="M184" s="399"/>
      <c r="N184" s="399"/>
      <c r="O184" s="3"/>
    </row>
    <row r="185" spans="1:15" ht="3" customHeight="1" x14ac:dyDescent="0.25">
      <c r="A185" s="1048"/>
      <c r="B185" s="1051"/>
      <c r="C185" s="1052"/>
      <c r="D185" s="402"/>
      <c r="E185" s="403"/>
      <c r="F185" s="404"/>
      <c r="G185" s="403"/>
      <c r="H185" s="404"/>
      <c r="I185" s="403"/>
      <c r="J185" s="404"/>
      <c r="K185" s="354"/>
      <c r="L185" s="398"/>
      <c r="M185" s="399"/>
      <c r="N185" s="399"/>
      <c r="O185" s="3"/>
    </row>
    <row r="186" spans="1:15" ht="48.75" customHeight="1" x14ac:dyDescent="0.25">
      <c r="A186" s="1048"/>
      <c r="B186" s="1051"/>
      <c r="C186" s="1052"/>
      <c r="D186" s="405"/>
      <c r="E186" s="748" t="s">
        <v>435</v>
      </c>
      <c r="F186" s="749"/>
      <c r="G186" s="748" t="s">
        <v>436</v>
      </c>
      <c r="H186" s="749"/>
      <c r="I186" s="748" t="s">
        <v>437</v>
      </c>
      <c r="J186" s="749"/>
      <c r="K186" s="354"/>
      <c r="L186" s="398"/>
      <c r="M186" s="399"/>
      <c r="N186" s="399"/>
      <c r="O186" s="3"/>
    </row>
    <row r="187" spans="1:15" ht="13.2" x14ac:dyDescent="0.25">
      <c r="A187" s="1048"/>
      <c r="B187" s="1051"/>
      <c r="C187" s="1052"/>
      <c r="D187" s="824" t="str">
        <f>IF(AND(E187="",G187="",I187=""),IF(fio="","",0),"")</f>
        <v/>
      </c>
      <c r="E187" s="826"/>
      <c r="F187" s="827"/>
      <c r="G187" s="738"/>
      <c r="H187" s="739"/>
      <c r="I187" s="738"/>
      <c r="J187" s="739"/>
      <c r="K187" s="354"/>
      <c r="L187" s="398">
        <f>SUM(E187:J188)</f>
        <v>0</v>
      </c>
      <c r="M187" s="406"/>
      <c r="N187" s="407">
        <v>150</v>
      </c>
      <c r="O187" s="3"/>
    </row>
    <row r="188" spans="1:15" ht="13.2" x14ac:dyDescent="0.25">
      <c r="A188" s="1049"/>
      <c r="B188" s="1053"/>
      <c r="C188" s="1054"/>
      <c r="D188" s="825"/>
      <c r="E188" s="740"/>
      <c r="F188" s="741"/>
      <c r="G188" s="740"/>
      <c r="H188" s="741"/>
      <c r="I188" s="740"/>
      <c r="J188" s="741"/>
      <c r="K188" s="354"/>
      <c r="L188" s="398"/>
      <c r="M188" s="408"/>
      <c r="N188" s="409"/>
      <c r="O188" s="3"/>
    </row>
    <row r="189" spans="1:15" ht="157.5" customHeight="1" x14ac:dyDescent="0.25">
      <c r="A189" s="76"/>
      <c r="B189" s="124"/>
      <c r="C189" s="124"/>
      <c r="D189" s="124"/>
      <c r="E189" s="55"/>
      <c r="F189" s="55"/>
      <c r="G189" s="55"/>
      <c r="H189" s="55"/>
      <c r="I189" s="55"/>
      <c r="J189" s="55"/>
      <c r="K189" s="354"/>
    </row>
    <row r="190" spans="1:15" x14ac:dyDescent="0.25">
      <c r="A190" s="76"/>
      <c r="B190" s="787" t="s">
        <v>143</v>
      </c>
      <c r="C190" s="787"/>
      <c r="D190" s="126"/>
      <c r="E190" s="75"/>
      <c r="F190" s="75"/>
      <c r="G190" s="75"/>
      <c r="H190" s="75"/>
      <c r="I190" s="75"/>
      <c r="J190" s="75"/>
      <c r="K190" s="354"/>
    </row>
    <row r="191" spans="1:15" ht="14.25" customHeight="1" x14ac:dyDescent="0.25">
      <c r="A191" s="921" t="s">
        <v>168</v>
      </c>
      <c r="B191" s="828" t="s">
        <v>127</v>
      </c>
      <c r="C191" s="829"/>
      <c r="D191" s="829"/>
      <c r="E191" s="830"/>
      <c r="F191" s="742" t="s">
        <v>128</v>
      </c>
      <c r="G191" s="743"/>
      <c r="H191" s="743"/>
      <c r="I191" s="743"/>
      <c r="J191" s="744"/>
      <c r="K191" s="354"/>
      <c r="M191" s="47"/>
      <c r="N191" s="244"/>
      <c r="O191" s="3"/>
    </row>
    <row r="192" spans="1:15" ht="14.25" customHeight="1" x14ac:dyDescent="0.25">
      <c r="A192" s="922"/>
      <c r="B192" s="831"/>
      <c r="C192" s="832"/>
      <c r="D192" s="832"/>
      <c r="E192" s="833"/>
      <c r="F192" s="745" t="s">
        <v>137</v>
      </c>
      <c r="G192" s="746"/>
      <c r="H192" s="746"/>
      <c r="I192" s="746"/>
      <c r="J192" s="747"/>
      <c r="K192" s="354"/>
      <c r="M192" s="47"/>
      <c r="N192" s="244"/>
      <c r="O192" s="3"/>
    </row>
    <row r="193" spans="1:22" ht="12.75" customHeight="1" x14ac:dyDescent="0.25">
      <c r="A193" s="923"/>
      <c r="B193" s="834"/>
      <c r="C193" s="835"/>
      <c r="D193" s="835"/>
      <c r="E193" s="836"/>
      <c r="F193" s="239">
        <v>0</v>
      </c>
      <c r="G193" s="768" t="s">
        <v>406</v>
      </c>
      <c r="H193" s="769"/>
      <c r="I193" s="768" t="s">
        <v>56</v>
      </c>
      <c r="J193" s="770"/>
      <c r="K193" s="354"/>
      <c r="M193" s="47"/>
      <c r="N193" s="244"/>
      <c r="O193" s="3"/>
    </row>
    <row r="194" spans="1:22" ht="43.5" customHeight="1" x14ac:dyDescent="0.25">
      <c r="A194" s="1000" t="s">
        <v>440</v>
      </c>
      <c r="B194" s="771" t="s">
        <v>493</v>
      </c>
      <c r="C194" s="772"/>
      <c r="D194" s="772"/>
      <c r="E194" s="773"/>
      <c r="F194" s="240" t="s">
        <v>488</v>
      </c>
      <c r="G194" s="822" t="s">
        <v>489</v>
      </c>
      <c r="H194" s="822"/>
      <c r="I194" s="781" t="s">
        <v>490</v>
      </c>
      <c r="J194" s="782"/>
      <c r="K194" s="354"/>
      <c r="M194" s="47"/>
      <c r="N194" s="48"/>
      <c r="O194" s="3"/>
    </row>
    <row r="195" spans="1:22" ht="12.75" customHeight="1" x14ac:dyDescent="0.25">
      <c r="A195" s="1001"/>
      <c r="B195" s="774"/>
      <c r="C195" s="775"/>
      <c r="D195" s="775"/>
      <c r="E195" s="776"/>
      <c r="F195" s="819" t="str">
        <f>IF(AND(G195="",I195=""),IF(fio="","",0),"")</f>
        <v/>
      </c>
      <c r="G195" s="821"/>
      <c r="H195" s="755"/>
      <c r="I195" s="821"/>
      <c r="J195" s="755"/>
      <c r="K195" s="354"/>
      <c r="L195" s="36">
        <f>MAX(F195:J196)</f>
        <v>0</v>
      </c>
      <c r="M195" s="47">
        <v>100</v>
      </c>
      <c r="N195" s="48"/>
      <c r="O195" s="3"/>
    </row>
    <row r="196" spans="1:22" ht="12.75" customHeight="1" x14ac:dyDescent="0.25">
      <c r="A196" s="1002"/>
      <c r="B196" s="1034"/>
      <c r="C196" s="1035"/>
      <c r="D196" s="1035"/>
      <c r="E196" s="1036"/>
      <c r="F196" s="820"/>
      <c r="G196" s="756"/>
      <c r="H196" s="757"/>
      <c r="I196" s="756"/>
      <c r="J196" s="757"/>
      <c r="K196" s="354"/>
      <c r="M196" s="47"/>
      <c r="N196" s="48"/>
      <c r="O196" s="3"/>
    </row>
    <row r="197" spans="1:22" ht="71.25" customHeight="1" x14ac:dyDescent="0.25">
      <c r="A197" s="1000" t="s">
        <v>441</v>
      </c>
      <c r="B197" s="771" t="s">
        <v>593</v>
      </c>
      <c r="C197" s="772"/>
      <c r="D197" s="772"/>
      <c r="E197" s="773"/>
      <c r="F197" s="240" t="s">
        <v>314</v>
      </c>
      <c r="G197" s="822" t="s">
        <v>315</v>
      </c>
      <c r="H197" s="822"/>
      <c r="I197" s="781" t="s">
        <v>316</v>
      </c>
      <c r="J197" s="782"/>
      <c r="K197" s="354"/>
      <c r="M197" s="47"/>
      <c r="N197" s="48"/>
      <c r="O197" s="3"/>
    </row>
    <row r="198" spans="1:22" ht="12.75" customHeight="1" x14ac:dyDescent="0.25">
      <c r="A198" s="1001"/>
      <c r="B198" s="774"/>
      <c r="C198" s="775"/>
      <c r="D198" s="775"/>
      <c r="E198" s="776"/>
      <c r="F198" s="819" t="str">
        <f>IF(AND(G198="",I198=""),IF(fio="","",0),"")</f>
        <v/>
      </c>
      <c r="G198" s="821"/>
      <c r="H198" s="755"/>
      <c r="I198" s="821"/>
      <c r="J198" s="755"/>
      <c r="K198" s="354"/>
      <c r="L198" s="36">
        <f>MAX(F198:J199)</f>
        <v>0</v>
      </c>
      <c r="M198" s="47">
        <v>100</v>
      </c>
      <c r="N198" s="48"/>
      <c r="O198" s="3"/>
    </row>
    <row r="199" spans="1:22" ht="12.75" customHeight="1" x14ac:dyDescent="0.25">
      <c r="A199" s="1002"/>
      <c r="B199" s="1034"/>
      <c r="C199" s="1035"/>
      <c r="D199" s="1035"/>
      <c r="E199" s="1036"/>
      <c r="F199" s="820"/>
      <c r="G199" s="756"/>
      <c r="H199" s="757"/>
      <c r="I199" s="756"/>
      <c r="J199" s="757"/>
      <c r="K199" s="354"/>
      <c r="M199" s="47"/>
      <c r="N199" s="48"/>
      <c r="O199" s="3"/>
    </row>
    <row r="200" spans="1:22" ht="83.25" customHeight="1" x14ac:dyDescent="0.25">
      <c r="A200" s="1000" t="s">
        <v>445</v>
      </c>
      <c r="B200" s="771" t="s">
        <v>444</v>
      </c>
      <c r="C200" s="772"/>
      <c r="D200" s="772"/>
      <c r="E200" s="773"/>
      <c r="F200" s="240" t="s">
        <v>314</v>
      </c>
      <c r="G200" s="822" t="s">
        <v>315</v>
      </c>
      <c r="H200" s="822"/>
      <c r="I200" s="781" t="s">
        <v>316</v>
      </c>
      <c r="J200" s="782"/>
      <c r="K200" s="354"/>
      <c r="M200" s="47"/>
      <c r="N200" s="48"/>
      <c r="O200" s="3"/>
    </row>
    <row r="201" spans="1:22" ht="13.2" x14ac:dyDescent="0.25">
      <c r="A201" s="1001"/>
      <c r="B201" s="774"/>
      <c r="C201" s="775"/>
      <c r="D201" s="775"/>
      <c r="E201" s="776"/>
      <c r="F201" s="819" t="str">
        <f>IF(AND(G201="",I201=""),IF(fio="","",0),"")</f>
        <v/>
      </c>
      <c r="G201" s="821"/>
      <c r="H201" s="755"/>
      <c r="I201" s="821"/>
      <c r="J201" s="755"/>
      <c r="K201" s="354"/>
      <c r="L201" s="36">
        <f>MAX(F201:J202)</f>
        <v>0</v>
      </c>
      <c r="M201" s="47">
        <v>100</v>
      </c>
      <c r="N201" s="48"/>
      <c r="O201" s="3"/>
    </row>
    <row r="202" spans="1:22" ht="13.2" x14ac:dyDescent="0.25">
      <c r="A202" s="1002"/>
      <c r="B202" s="1034"/>
      <c r="C202" s="1035"/>
      <c r="D202" s="1035"/>
      <c r="E202" s="1036"/>
      <c r="F202" s="820"/>
      <c r="G202" s="756"/>
      <c r="H202" s="757"/>
      <c r="I202" s="756"/>
      <c r="J202" s="757"/>
      <c r="K202" s="354"/>
      <c r="M202" s="47"/>
      <c r="N202" s="48"/>
      <c r="O202" s="3"/>
    </row>
    <row r="203" spans="1:22" ht="70.5" customHeight="1" x14ac:dyDescent="0.25">
      <c r="A203" s="1000" t="s">
        <v>446</v>
      </c>
      <c r="B203" s="771" t="s">
        <v>592</v>
      </c>
      <c r="C203" s="772"/>
      <c r="D203" s="772"/>
      <c r="E203" s="773"/>
      <c r="F203" s="240" t="s">
        <v>488</v>
      </c>
      <c r="G203" s="822" t="s">
        <v>587</v>
      </c>
      <c r="H203" s="822"/>
      <c r="I203" s="781" t="s">
        <v>491</v>
      </c>
      <c r="J203" s="782"/>
      <c r="K203" s="354"/>
      <c r="M203" s="47"/>
      <c r="N203" s="48"/>
      <c r="O203" s="3"/>
    </row>
    <row r="204" spans="1:22" ht="13.2" x14ac:dyDescent="0.25">
      <c r="A204" s="1001"/>
      <c r="B204" s="774"/>
      <c r="C204" s="775"/>
      <c r="D204" s="775"/>
      <c r="E204" s="776"/>
      <c r="F204" s="819" t="str">
        <f>IF(AND(G204="",I204=""),IF(fio="","",0),"")</f>
        <v/>
      </c>
      <c r="G204" s="1128"/>
      <c r="H204" s="1128"/>
      <c r="I204" s="1128"/>
      <c r="J204" s="1128"/>
      <c r="K204" s="354"/>
      <c r="L204" s="36">
        <f>MAX(F204:J205)</f>
        <v>0</v>
      </c>
      <c r="M204" s="47">
        <v>100</v>
      </c>
      <c r="N204" s="48"/>
      <c r="O204" s="3"/>
    </row>
    <row r="205" spans="1:22" ht="13.2" x14ac:dyDescent="0.25">
      <c r="A205" s="1002"/>
      <c r="B205" s="1034"/>
      <c r="C205" s="1035"/>
      <c r="D205" s="1035"/>
      <c r="E205" s="1036"/>
      <c r="F205" s="820"/>
      <c r="G205" s="1128"/>
      <c r="H205" s="1128"/>
      <c r="I205" s="1128"/>
      <c r="J205" s="1128"/>
      <c r="K205" s="354"/>
      <c r="M205" s="47"/>
      <c r="N205" s="244"/>
      <c r="O205" s="20"/>
      <c r="P205" s="20"/>
      <c r="Q205" s="20"/>
      <c r="R205" s="20"/>
      <c r="S205" s="20"/>
      <c r="T205" s="20"/>
      <c r="U205" s="20"/>
      <c r="V205" s="20"/>
    </row>
    <row r="206" spans="1:22" ht="14.25" customHeight="1" x14ac:dyDescent="0.25">
      <c r="A206" s="921" t="s">
        <v>168</v>
      </c>
      <c r="B206" s="1140" t="s">
        <v>127</v>
      </c>
      <c r="C206" s="1141"/>
      <c r="D206" s="1141"/>
      <c r="E206" s="1142"/>
      <c r="F206" s="742" t="s">
        <v>128</v>
      </c>
      <c r="G206" s="743"/>
      <c r="H206" s="743"/>
      <c r="I206" s="743"/>
      <c r="J206" s="744"/>
      <c r="K206" s="354"/>
      <c r="M206" s="47"/>
      <c r="N206" s="244"/>
      <c r="O206" s="142"/>
      <c r="P206" s="1157"/>
      <c r="Q206" s="1155"/>
      <c r="R206" s="1155"/>
      <c r="S206" s="1155"/>
      <c r="T206" s="1155"/>
      <c r="U206" s="1155"/>
      <c r="V206" s="1155"/>
    </row>
    <row r="207" spans="1:22" ht="15" customHeight="1" x14ac:dyDescent="0.25">
      <c r="A207" s="922"/>
      <c r="B207" s="1143"/>
      <c r="C207" s="1144"/>
      <c r="D207" s="1144"/>
      <c r="E207" s="1145"/>
      <c r="F207" s="745" t="s">
        <v>312</v>
      </c>
      <c r="G207" s="746"/>
      <c r="H207" s="746"/>
      <c r="I207" s="746"/>
      <c r="J207" s="747"/>
      <c r="K207" s="354"/>
      <c r="M207" s="47"/>
      <c r="N207" s="244"/>
      <c r="O207" s="142"/>
      <c r="P207" s="1157"/>
      <c r="Q207" s="851"/>
      <c r="R207" s="851"/>
      <c r="S207" s="851"/>
      <c r="T207" s="851"/>
      <c r="U207" s="851"/>
      <c r="V207" s="851"/>
    </row>
    <row r="208" spans="1:22" ht="15" customHeight="1" x14ac:dyDescent="0.25">
      <c r="A208" s="923"/>
      <c r="B208" s="1146"/>
      <c r="C208" s="1147"/>
      <c r="D208" s="1147"/>
      <c r="E208" s="1148"/>
      <c r="F208" s="239">
        <v>0</v>
      </c>
      <c r="G208" s="1136" t="s">
        <v>317</v>
      </c>
      <c r="H208" s="1136"/>
      <c r="I208" s="823" t="s">
        <v>278</v>
      </c>
      <c r="J208" s="769"/>
      <c r="K208" s="354"/>
      <c r="M208" s="47"/>
      <c r="N208" s="244"/>
      <c r="O208" s="142"/>
      <c r="P208" s="1157"/>
      <c r="Q208" s="1156"/>
      <c r="R208" s="1156"/>
      <c r="S208" s="1156"/>
      <c r="T208" s="1156"/>
      <c r="U208" s="1156"/>
      <c r="V208" s="1156"/>
    </row>
    <row r="209" spans="1:64" ht="69.75" customHeight="1" x14ac:dyDescent="0.25">
      <c r="A209" s="1000" t="s">
        <v>447</v>
      </c>
      <c r="B209" s="896" t="s">
        <v>497</v>
      </c>
      <c r="C209" s="958"/>
      <c r="D209" s="958"/>
      <c r="E209" s="897"/>
      <c r="F209" s="240" t="s">
        <v>313</v>
      </c>
      <c r="G209" s="822" t="s">
        <v>318</v>
      </c>
      <c r="H209" s="822"/>
      <c r="I209" s="781" t="s">
        <v>341</v>
      </c>
      <c r="J209" s="782"/>
      <c r="K209" s="354"/>
      <c r="M209" s="47"/>
      <c r="N209" s="244"/>
      <c r="O209" s="142"/>
      <c r="P209" s="780"/>
      <c r="Q209" s="1152"/>
      <c r="R209" s="1152"/>
      <c r="S209" s="1152"/>
      <c r="T209" s="1152"/>
      <c r="U209" s="1152"/>
      <c r="V209" s="1152"/>
    </row>
    <row r="210" spans="1:64" ht="12.75" customHeight="1" x14ac:dyDescent="0.25">
      <c r="A210" s="1001"/>
      <c r="B210" s="898"/>
      <c r="C210" s="1085"/>
      <c r="D210" s="1085"/>
      <c r="E210" s="899"/>
      <c r="F210" s="819" t="str">
        <f>IF(AND(G210="",I210=""),IF(fio="","",0),"")</f>
        <v/>
      </c>
      <c r="G210" s="878"/>
      <c r="H210" s="1137"/>
      <c r="I210" s="944"/>
      <c r="J210" s="945"/>
      <c r="K210" s="354"/>
      <c r="L210" s="36">
        <f>SUM(F210:J211)</f>
        <v>0</v>
      </c>
      <c r="M210" s="47">
        <v>300</v>
      </c>
      <c r="N210" s="244"/>
      <c r="O210" s="142"/>
      <c r="P210" s="780"/>
      <c r="Q210" s="1153"/>
      <c r="R210" s="1153"/>
      <c r="S210" s="1154"/>
      <c r="T210" s="1154"/>
      <c r="U210" s="20"/>
      <c r="V210" s="246"/>
    </row>
    <row r="211" spans="1:64" ht="12.75" customHeight="1" x14ac:dyDescent="0.25">
      <c r="A211" s="1002"/>
      <c r="B211" s="1149"/>
      <c r="C211" s="1150"/>
      <c r="D211" s="1150"/>
      <c r="E211" s="1151"/>
      <c r="F211" s="820"/>
      <c r="G211" s="1138"/>
      <c r="H211" s="1139"/>
      <c r="I211" s="946"/>
      <c r="J211" s="947"/>
      <c r="K211" s="354"/>
      <c r="M211" s="49"/>
      <c r="N211" s="245"/>
      <c r="O211" s="142"/>
      <c r="P211" s="780"/>
      <c r="Q211" s="1153"/>
      <c r="R211" s="1153"/>
      <c r="S211" s="1154"/>
      <c r="T211" s="1154"/>
      <c r="U211" s="20"/>
      <c r="V211" s="246"/>
    </row>
    <row r="212" spans="1:64" ht="31.5" customHeight="1" x14ac:dyDescent="0.25">
      <c r="A212" s="76"/>
      <c r="B212" s="125"/>
      <c r="C212" s="125"/>
      <c r="D212" s="126"/>
      <c r="E212" s="75"/>
      <c r="F212" s="75"/>
      <c r="G212" s="75"/>
      <c r="H212" s="75"/>
      <c r="I212" s="75"/>
      <c r="J212" s="75"/>
      <c r="K212" s="357"/>
    </row>
    <row r="213" spans="1:64" s="360" customFormat="1" ht="19.5" customHeight="1" x14ac:dyDescent="0.25">
      <c r="A213" s="359" t="s">
        <v>511</v>
      </c>
      <c r="B213" s="837" t="s">
        <v>504</v>
      </c>
      <c r="C213" s="837"/>
      <c r="D213" s="837"/>
      <c r="E213" s="837"/>
      <c r="F213" s="837"/>
      <c r="G213" s="837"/>
      <c r="H213" s="837"/>
      <c r="I213" s="837"/>
      <c r="J213" s="837"/>
      <c r="K213" s="357"/>
      <c r="L213" s="359"/>
      <c r="M213" s="448"/>
      <c r="N213" s="450" t="s">
        <v>510</v>
      </c>
      <c r="O213" s="449">
        <f>SUM(L214:L458)</f>
        <v>0</v>
      </c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9"/>
      <c r="BD213" s="359"/>
      <c r="BE213" s="24"/>
      <c r="BF213" s="24"/>
      <c r="BG213" s="24"/>
      <c r="BH213" s="24"/>
      <c r="BI213" s="24"/>
      <c r="BJ213" s="24"/>
      <c r="BK213" s="24"/>
      <c r="BL213" s="24"/>
    </row>
    <row r="214" spans="1:64" s="361" customFormat="1" ht="15.75" customHeight="1" x14ac:dyDescent="0.25">
      <c r="A214" s="349" t="s">
        <v>391</v>
      </c>
      <c r="D214" s="362"/>
      <c r="E214" s="362"/>
      <c r="F214" s="362"/>
      <c r="G214" s="362"/>
      <c r="H214" s="362"/>
      <c r="I214" s="362"/>
      <c r="J214" s="75"/>
      <c r="K214" s="357"/>
      <c r="BE214" s="24"/>
      <c r="BF214" s="24"/>
      <c r="BG214" s="24"/>
      <c r="BH214" s="24"/>
      <c r="BI214" s="24"/>
      <c r="BJ214" s="24"/>
      <c r="BK214" s="24"/>
      <c r="BL214" s="24"/>
    </row>
    <row r="215" spans="1:64" s="361" customFormat="1" ht="12.75" customHeight="1" x14ac:dyDescent="0.25">
      <c r="A215" s="363" t="s">
        <v>151</v>
      </c>
      <c r="B215" s="786" t="s">
        <v>395</v>
      </c>
      <c r="C215" s="786"/>
      <c r="D215" s="786"/>
      <c r="E215" s="786"/>
      <c r="F215" s="786"/>
      <c r="G215" s="786"/>
      <c r="H215" s="786"/>
      <c r="I215" s="786"/>
      <c r="J215" s="786"/>
      <c r="K215" s="357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1"/>
      <c r="AJ215" s="351"/>
      <c r="AK215" s="351"/>
      <c r="AL215" s="351"/>
      <c r="AM215" s="351"/>
      <c r="AN215" s="351"/>
      <c r="AO215" s="351"/>
      <c r="AP215" s="351"/>
      <c r="AQ215" s="351"/>
      <c r="AR215" s="351"/>
      <c r="AS215" s="351"/>
      <c r="AT215" s="351"/>
      <c r="AU215" s="351"/>
      <c r="AV215" s="351"/>
      <c r="AW215" s="351"/>
      <c r="AX215" s="351"/>
      <c r="AY215" s="351"/>
      <c r="AZ215" s="351"/>
      <c r="BA215" s="351"/>
      <c r="BB215" s="351"/>
      <c r="BC215" s="351"/>
      <c r="BD215" s="351"/>
      <c r="BE215" s="24"/>
      <c r="BF215" s="24"/>
      <c r="BG215" s="24"/>
      <c r="BH215" s="24"/>
      <c r="BI215" s="24"/>
      <c r="BJ215" s="24"/>
      <c r="BK215" s="24"/>
      <c r="BL215" s="24"/>
    </row>
    <row r="216" spans="1:64" s="361" customFormat="1" ht="12.75" customHeight="1" x14ac:dyDescent="0.25">
      <c r="A216" s="363"/>
      <c r="B216" s="786"/>
      <c r="C216" s="786"/>
      <c r="D216" s="786"/>
      <c r="E216" s="786"/>
      <c r="F216" s="786"/>
      <c r="G216" s="786"/>
      <c r="H216" s="786"/>
      <c r="I216" s="786"/>
      <c r="J216" s="786"/>
      <c r="K216" s="357"/>
      <c r="L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X216" s="351"/>
      <c r="Y216" s="351"/>
      <c r="Z216" s="351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N216" s="351"/>
      <c r="AO216" s="351"/>
      <c r="AP216" s="351"/>
      <c r="AQ216" s="351"/>
      <c r="AR216" s="351"/>
      <c r="AS216" s="351"/>
      <c r="AT216" s="351"/>
      <c r="AU216" s="351"/>
      <c r="AV216" s="351"/>
      <c r="AW216" s="351"/>
      <c r="AX216" s="351"/>
      <c r="AY216" s="351"/>
      <c r="AZ216" s="351"/>
      <c r="BA216" s="351"/>
      <c r="BB216" s="351"/>
      <c r="BC216" s="351"/>
      <c r="BD216" s="351"/>
      <c r="BE216" s="24"/>
      <c r="BF216" s="24"/>
      <c r="BG216" s="24"/>
      <c r="BH216" s="24"/>
      <c r="BI216" s="24"/>
      <c r="BJ216" s="24"/>
      <c r="BK216" s="24"/>
      <c r="BL216" s="24"/>
    </row>
    <row r="217" spans="1:64" s="361" customFormat="1" ht="12.75" customHeight="1" x14ac:dyDescent="0.25">
      <c r="A217" s="363"/>
      <c r="B217" s="786"/>
      <c r="C217" s="786"/>
      <c r="D217" s="786"/>
      <c r="E217" s="786"/>
      <c r="F217" s="786"/>
      <c r="G217" s="786"/>
      <c r="H217" s="786"/>
      <c r="I217" s="786"/>
      <c r="J217" s="786"/>
      <c r="K217" s="357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N217" s="351"/>
      <c r="AO217" s="351"/>
      <c r="AP217" s="351"/>
      <c r="AQ217" s="351"/>
      <c r="AR217" s="351"/>
      <c r="AS217" s="351"/>
      <c r="AT217" s="351"/>
      <c r="AU217" s="351"/>
      <c r="AV217" s="351"/>
      <c r="AW217" s="351"/>
      <c r="AX217" s="351"/>
      <c r="AY217" s="351"/>
      <c r="AZ217" s="351"/>
      <c r="BA217" s="351"/>
      <c r="BB217" s="351"/>
      <c r="BC217" s="351"/>
      <c r="BD217" s="351"/>
      <c r="BE217" s="24"/>
      <c r="BF217" s="24"/>
      <c r="BG217" s="24"/>
      <c r="BH217" s="24"/>
      <c r="BI217" s="24"/>
      <c r="BJ217" s="24"/>
      <c r="BK217" s="24"/>
      <c r="BL217" s="24"/>
    </row>
    <row r="218" spans="1:64" s="361" customFormat="1" ht="20.25" customHeight="1" x14ac:dyDescent="0.25">
      <c r="A218" s="363"/>
      <c r="B218" s="786"/>
      <c r="C218" s="786"/>
      <c r="D218" s="786"/>
      <c r="E218" s="786"/>
      <c r="F218" s="786"/>
      <c r="G218" s="786"/>
      <c r="H218" s="786"/>
      <c r="I218" s="786"/>
      <c r="J218" s="786"/>
      <c r="K218" s="357"/>
      <c r="L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X218" s="351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  <c r="AO218" s="351"/>
      <c r="AP218" s="351"/>
      <c r="AQ218" s="351"/>
      <c r="AR218" s="351"/>
      <c r="AS218" s="351"/>
      <c r="AT218" s="351"/>
      <c r="AU218" s="351"/>
      <c r="AV218" s="351"/>
      <c r="AW218" s="351"/>
      <c r="AX218" s="351"/>
      <c r="AY218" s="351"/>
      <c r="AZ218" s="351"/>
      <c r="BA218" s="351"/>
      <c r="BB218" s="351"/>
      <c r="BC218" s="351"/>
      <c r="BD218" s="351"/>
      <c r="BE218" s="24"/>
      <c r="BF218" s="24"/>
      <c r="BG218" s="24"/>
      <c r="BH218" s="24"/>
      <c r="BI218" s="24"/>
      <c r="BJ218" s="24"/>
      <c r="BK218" s="24"/>
      <c r="BL218" s="24"/>
    </row>
    <row r="219" spans="1:64" s="361" customFormat="1" ht="12.75" customHeight="1" x14ac:dyDescent="0.25">
      <c r="A219" s="363" t="s">
        <v>151</v>
      </c>
      <c r="B219" s="1121" t="s">
        <v>396</v>
      </c>
      <c r="C219" s="1121"/>
      <c r="D219" s="1121"/>
      <c r="E219" s="1121"/>
      <c r="F219" s="1121"/>
      <c r="G219" s="1121"/>
      <c r="H219" s="1121"/>
      <c r="I219" s="1121"/>
      <c r="J219" s="1121"/>
      <c r="K219" s="357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24"/>
      <c r="BF219" s="24"/>
      <c r="BG219" s="24"/>
      <c r="BH219" s="24"/>
      <c r="BI219" s="24"/>
      <c r="BJ219" s="24"/>
      <c r="BK219" s="24"/>
      <c r="BL219" s="24"/>
    </row>
    <row r="220" spans="1:64" s="361" customFormat="1" ht="12.75" customHeight="1" x14ac:dyDescent="0.25">
      <c r="A220" s="365"/>
      <c r="B220" s="1121"/>
      <c r="C220" s="1121"/>
      <c r="D220" s="1121"/>
      <c r="E220" s="1121"/>
      <c r="F220" s="1121"/>
      <c r="G220" s="1121"/>
      <c r="H220" s="1121"/>
      <c r="I220" s="1121"/>
      <c r="J220" s="1121"/>
      <c r="K220" s="357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/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24"/>
      <c r="BF220" s="24"/>
      <c r="BG220" s="24"/>
      <c r="BH220" s="24"/>
      <c r="BI220" s="24"/>
      <c r="BJ220" s="24"/>
      <c r="BK220" s="24"/>
      <c r="BL220" s="24"/>
    </row>
    <row r="221" spans="1:64" s="361" customFormat="1" ht="12.75" customHeight="1" x14ac:dyDescent="0.25">
      <c r="A221" s="365"/>
      <c r="B221" s="1121"/>
      <c r="C221" s="1121"/>
      <c r="D221" s="1121"/>
      <c r="E221" s="1121"/>
      <c r="F221" s="1121"/>
      <c r="G221" s="1121"/>
      <c r="H221" s="1121"/>
      <c r="I221" s="1121"/>
      <c r="J221" s="1121"/>
      <c r="K221" s="357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  <c r="AA221" s="364"/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  <c r="AP221" s="364"/>
      <c r="AQ221" s="364"/>
      <c r="AR221" s="364"/>
      <c r="AS221" s="364"/>
      <c r="AT221" s="364"/>
      <c r="AU221" s="364"/>
      <c r="AV221" s="364"/>
      <c r="AW221" s="364"/>
      <c r="AX221" s="364"/>
      <c r="AY221" s="364"/>
      <c r="AZ221" s="364"/>
      <c r="BA221" s="364"/>
      <c r="BB221" s="364"/>
      <c r="BC221" s="364"/>
      <c r="BD221" s="364"/>
      <c r="BE221" s="24"/>
      <c r="BF221" s="24"/>
      <c r="BG221" s="24"/>
      <c r="BH221" s="24"/>
      <c r="BI221" s="24"/>
      <c r="BJ221" s="24"/>
      <c r="BK221" s="24"/>
      <c r="BL221" s="24"/>
    </row>
    <row r="222" spans="1:64" s="361" customFormat="1" ht="12.75" customHeight="1" x14ac:dyDescent="0.25">
      <c r="A222" s="365"/>
      <c r="B222" s="1121"/>
      <c r="C222" s="1121"/>
      <c r="D222" s="1121"/>
      <c r="E222" s="1121"/>
      <c r="F222" s="1121"/>
      <c r="G222" s="1121"/>
      <c r="H222" s="1121"/>
      <c r="I222" s="1121"/>
      <c r="J222" s="1121"/>
      <c r="K222" s="357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  <c r="AA222" s="364"/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  <c r="AP222" s="364"/>
      <c r="AQ222" s="364"/>
      <c r="AR222" s="364"/>
      <c r="AS222" s="364"/>
      <c r="AT222" s="364"/>
      <c r="AU222" s="364"/>
      <c r="AV222" s="364"/>
      <c r="AW222" s="364"/>
      <c r="AX222" s="364"/>
      <c r="AY222" s="364"/>
      <c r="AZ222" s="364"/>
      <c r="BA222" s="364"/>
      <c r="BB222" s="364"/>
      <c r="BC222" s="364"/>
      <c r="BD222" s="364"/>
      <c r="BE222" s="24"/>
      <c r="BF222" s="24"/>
      <c r="BG222" s="24"/>
      <c r="BH222" s="24"/>
      <c r="BI222" s="24"/>
      <c r="BJ222" s="24"/>
      <c r="BK222" s="24"/>
      <c r="BL222" s="24"/>
    </row>
    <row r="223" spans="1:64" s="361" customFormat="1" ht="12.75" customHeight="1" x14ac:dyDescent="0.25">
      <c r="A223" s="365"/>
      <c r="B223" s="1121"/>
      <c r="C223" s="1121"/>
      <c r="D223" s="1121"/>
      <c r="E223" s="1121"/>
      <c r="F223" s="1121"/>
      <c r="G223" s="1121"/>
      <c r="H223" s="1121"/>
      <c r="I223" s="1121"/>
      <c r="J223" s="1121"/>
      <c r="K223" s="357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  <c r="AA223" s="364"/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  <c r="AP223" s="364"/>
      <c r="AQ223" s="364"/>
      <c r="AR223" s="364"/>
      <c r="AS223" s="364"/>
      <c r="AT223" s="364"/>
      <c r="AU223" s="364"/>
      <c r="AV223" s="364"/>
      <c r="AW223" s="364"/>
      <c r="AX223" s="364"/>
      <c r="AY223" s="364"/>
      <c r="AZ223" s="364"/>
      <c r="BA223" s="364"/>
      <c r="BB223" s="364"/>
      <c r="BC223" s="364"/>
      <c r="BD223" s="364"/>
      <c r="BE223" s="24"/>
      <c r="BF223" s="24"/>
      <c r="BG223" s="24"/>
      <c r="BH223" s="24"/>
      <c r="BI223" s="24"/>
      <c r="BJ223" s="24"/>
      <c r="BK223" s="24"/>
      <c r="BL223" s="24"/>
    </row>
    <row r="224" spans="1:64" s="361" customFormat="1" ht="18.75" customHeight="1" x14ac:dyDescent="0.25">
      <c r="A224" s="365"/>
      <c r="B224" s="1121"/>
      <c r="C224" s="1121"/>
      <c r="D224" s="1121"/>
      <c r="E224" s="1121"/>
      <c r="F224" s="1121"/>
      <c r="G224" s="1121"/>
      <c r="H224" s="1121"/>
      <c r="I224" s="1121"/>
      <c r="J224" s="1121"/>
      <c r="K224" s="357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  <c r="AP224" s="364"/>
      <c r="AQ224" s="364"/>
      <c r="AR224" s="364"/>
      <c r="AS224" s="364"/>
      <c r="AT224" s="364"/>
      <c r="AU224" s="364"/>
      <c r="AV224" s="364"/>
      <c r="AW224" s="364"/>
      <c r="AX224" s="364"/>
      <c r="AY224" s="364"/>
      <c r="AZ224" s="364"/>
      <c r="BA224" s="364"/>
      <c r="BB224" s="364"/>
      <c r="BC224" s="364"/>
      <c r="BD224" s="364"/>
      <c r="BE224" s="24"/>
      <c r="BF224" s="24"/>
      <c r="BG224" s="24"/>
      <c r="BH224" s="24"/>
      <c r="BI224" s="24"/>
      <c r="BJ224" s="24"/>
      <c r="BK224" s="24"/>
      <c r="BL224" s="24"/>
    </row>
    <row r="225" spans="1:68" ht="15.75" customHeight="1" x14ac:dyDescent="0.25">
      <c r="A225" s="76"/>
      <c r="B225" s="124"/>
      <c r="C225" s="124"/>
      <c r="D225" s="124"/>
      <c r="E225" s="55"/>
      <c r="F225" s="55"/>
      <c r="G225" s="55"/>
      <c r="H225" s="55"/>
      <c r="I225" s="55"/>
      <c r="J225" s="55"/>
      <c r="K225" s="357"/>
    </row>
    <row r="226" spans="1:68" x14ac:dyDescent="0.25">
      <c r="A226" s="76"/>
      <c r="B226" s="787" t="s">
        <v>143</v>
      </c>
      <c r="C226" s="787"/>
      <c r="D226" s="126"/>
      <c r="E226" s="75"/>
      <c r="F226" s="75"/>
      <c r="G226" s="75"/>
      <c r="H226" s="75"/>
      <c r="I226" s="75"/>
      <c r="J226" s="75"/>
      <c r="K226" s="357"/>
    </row>
    <row r="227" spans="1:68" s="385" customFormat="1" ht="21" customHeight="1" x14ac:dyDescent="0.25">
      <c r="A227" s="410" t="s">
        <v>152</v>
      </c>
      <c r="B227" s="411" t="s">
        <v>448</v>
      </c>
      <c r="C227" s="410"/>
      <c r="E227" s="411"/>
      <c r="F227" s="411"/>
      <c r="G227" s="411"/>
      <c r="H227" s="411"/>
      <c r="I227" s="411"/>
      <c r="J227" s="414"/>
      <c r="K227" s="357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  <c r="AA227" s="411"/>
      <c r="AB227" s="411"/>
      <c r="AC227" s="411"/>
      <c r="AD227" s="411"/>
      <c r="AE227" s="411"/>
      <c r="AF227" s="411"/>
      <c r="AG227" s="411"/>
      <c r="AH227" s="411"/>
      <c r="AI227" s="411"/>
      <c r="AJ227" s="411"/>
      <c r="AK227" s="411"/>
      <c r="AL227" s="411"/>
      <c r="AM227" s="411"/>
      <c r="AN227" s="411"/>
      <c r="AO227" s="411"/>
      <c r="AP227" s="411"/>
      <c r="AQ227" s="411"/>
      <c r="AR227" s="411"/>
      <c r="AS227" s="411"/>
      <c r="AT227" s="411"/>
      <c r="AU227" s="411"/>
      <c r="AV227" s="411"/>
      <c r="AW227" s="411"/>
      <c r="AX227" s="411"/>
      <c r="AY227" s="411"/>
      <c r="AZ227" s="411"/>
      <c r="BA227" s="411"/>
      <c r="BB227" s="411"/>
      <c r="BC227" s="411"/>
      <c r="BD227" s="411"/>
      <c r="BE227" s="24"/>
      <c r="BF227" s="24"/>
      <c r="BG227" s="24"/>
      <c r="BH227" s="24"/>
      <c r="BI227" s="24"/>
      <c r="BJ227" s="24"/>
      <c r="BK227" s="24"/>
      <c r="BL227" s="24"/>
      <c r="BM227" s="361"/>
      <c r="BN227" s="361"/>
      <c r="BO227" s="361"/>
      <c r="BP227" s="361"/>
    </row>
    <row r="228" spans="1:68" s="385" customFormat="1" ht="0.75" customHeight="1" x14ac:dyDescent="0.25">
      <c r="A228" s="410"/>
      <c r="B228" s="410"/>
      <c r="C228" s="410"/>
      <c r="D228" s="411"/>
      <c r="E228" s="411"/>
      <c r="F228" s="411"/>
      <c r="G228" s="411"/>
      <c r="H228" s="411"/>
      <c r="I228" s="411"/>
      <c r="J228" s="414"/>
      <c r="K228" s="357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411"/>
      <c r="W228" s="411"/>
      <c r="X228" s="411"/>
      <c r="Y228" s="411"/>
      <c r="Z228" s="411"/>
      <c r="AA228" s="411"/>
      <c r="AB228" s="411"/>
      <c r="AC228" s="411"/>
      <c r="AD228" s="411"/>
      <c r="AE228" s="411"/>
      <c r="AF228" s="411"/>
      <c r="AG228" s="411"/>
      <c r="AH228" s="411"/>
      <c r="AI228" s="411"/>
      <c r="AJ228" s="411"/>
      <c r="AK228" s="411"/>
      <c r="AL228" s="411"/>
      <c r="AM228" s="411"/>
      <c r="AN228" s="411"/>
      <c r="AO228" s="411"/>
      <c r="AP228" s="411"/>
      <c r="AQ228" s="411"/>
      <c r="AR228" s="411"/>
      <c r="AS228" s="411"/>
      <c r="AT228" s="411"/>
      <c r="AU228" s="411"/>
      <c r="AV228" s="411"/>
      <c r="AW228" s="411"/>
      <c r="AX228" s="411"/>
      <c r="AY228" s="411"/>
      <c r="AZ228" s="411"/>
      <c r="BA228" s="411"/>
      <c r="BB228" s="411"/>
      <c r="BC228" s="411"/>
      <c r="BD228" s="411"/>
      <c r="BE228" s="411"/>
      <c r="BF228" s="386"/>
      <c r="BG228" s="412"/>
      <c r="BH228" s="361"/>
      <c r="BI228" s="361"/>
      <c r="BJ228" s="413"/>
      <c r="BK228" s="361"/>
      <c r="BL228" s="361"/>
      <c r="BM228" s="361"/>
      <c r="BN228" s="361"/>
      <c r="BO228" s="361"/>
      <c r="BP228" s="361"/>
    </row>
    <row r="229" spans="1:68" ht="12.75" customHeight="1" x14ac:dyDescent="0.25">
      <c r="A229" s="854" t="s">
        <v>449</v>
      </c>
      <c r="B229" s="828" t="s">
        <v>450</v>
      </c>
      <c r="C229" s="829"/>
      <c r="D229" s="829"/>
      <c r="E229" s="829"/>
      <c r="F229" s="830"/>
      <c r="G229" s="1027" t="s">
        <v>122</v>
      </c>
      <c r="H229" s="1028"/>
      <c r="I229" s="1028"/>
      <c r="J229" s="1029"/>
      <c r="K229" s="357"/>
      <c r="L229" s="412"/>
      <c r="M229" s="361"/>
      <c r="N229" s="361"/>
      <c r="O229" s="413"/>
      <c r="P229" s="361"/>
      <c r="Q229" s="361"/>
      <c r="R229" s="361"/>
      <c r="S229" s="361"/>
      <c r="T229" s="361"/>
      <c r="U229" s="361"/>
    </row>
    <row r="230" spans="1:68" ht="12.75" customHeight="1" x14ac:dyDescent="0.25">
      <c r="A230" s="855"/>
      <c r="B230" s="831"/>
      <c r="C230" s="832"/>
      <c r="D230" s="832"/>
      <c r="E230" s="832"/>
      <c r="F230" s="833"/>
      <c r="G230" s="857" t="s">
        <v>451</v>
      </c>
      <c r="H230" s="858"/>
      <c r="I230" s="858"/>
      <c r="J230" s="859"/>
      <c r="K230" s="357"/>
      <c r="L230" s="412"/>
      <c r="M230" s="361"/>
      <c r="N230" s="361"/>
      <c r="O230" s="413"/>
      <c r="P230" s="361"/>
      <c r="Q230" s="361"/>
      <c r="R230" s="361"/>
      <c r="S230" s="361"/>
      <c r="T230" s="361"/>
      <c r="U230" s="361"/>
    </row>
    <row r="231" spans="1:68" ht="12.75" customHeight="1" x14ac:dyDescent="0.25">
      <c r="A231" s="855"/>
      <c r="B231" s="831"/>
      <c r="C231" s="832"/>
      <c r="D231" s="832"/>
      <c r="E231" s="832"/>
      <c r="F231" s="833"/>
      <c r="G231" s="415">
        <v>0</v>
      </c>
      <c r="H231" s="416" t="s">
        <v>452</v>
      </c>
      <c r="I231" s="416" t="s">
        <v>453</v>
      </c>
      <c r="J231" s="417" t="s">
        <v>454</v>
      </c>
      <c r="K231" s="357"/>
      <c r="L231" s="412"/>
      <c r="M231" s="361"/>
      <c r="N231" s="361"/>
      <c r="O231" s="413"/>
      <c r="P231" s="361"/>
      <c r="Q231" s="361"/>
      <c r="R231" s="361"/>
      <c r="S231" s="361"/>
      <c r="T231" s="361"/>
      <c r="U231" s="361"/>
    </row>
    <row r="232" spans="1:68" ht="12.75" customHeight="1" x14ac:dyDescent="0.25">
      <c r="A232" s="855"/>
      <c r="B232" s="831"/>
      <c r="C232" s="832"/>
      <c r="D232" s="832"/>
      <c r="E232" s="832"/>
      <c r="F232" s="833"/>
      <c r="G232" s="841" t="s">
        <v>455</v>
      </c>
      <c r="H232" s="783" t="s">
        <v>458</v>
      </c>
      <c r="I232" s="783" t="s">
        <v>457</v>
      </c>
      <c r="J232" s="783" t="s">
        <v>30</v>
      </c>
      <c r="K232" s="357"/>
      <c r="L232" s="412"/>
      <c r="M232" s="361"/>
      <c r="N232" s="361"/>
      <c r="O232" s="413"/>
      <c r="P232" s="361"/>
      <c r="Q232" s="361"/>
      <c r="R232" s="361"/>
      <c r="S232" s="361"/>
      <c r="T232" s="361"/>
      <c r="U232" s="361"/>
    </row>
    <row r="233" spans="1:68" ht="12.75" customHeight="1" x14ac:dyDescent="0.25">
      <c r="A233" s="855"/>
      <c r="B233" s="831"/>
      <c r="C233" s="832"/>
      <c r="D233" s="832"/>
      <c r="E233" s="832"/>
      <c r="F233" s="833"/>
      <c r="G233" s="842"/>
      <c r="H233" s="784"/>
      <c r="I233" s="784"/>
      <c r="J233" s="784"/>
      <c r="K233" s="357"/>
      <c r="L233" s="3"/>
      <c r="M233" s="3"/>
      <c r="N233" s="3"/>
      <c r="O233" s="3"/>
    </row>
    <row r="234" spans="1:68" ht="12.75" customHeight="1" x14ac:dyDescent="0.25">
      <c r="A234" s="855"/>
      <c r="B234" s="831"/>
      <c r="C234" s="832"/>
      <c r="D234" s="832"/>
      <c r="E234" s="832"/>
      <c r="F234" s="833"/>
      <c r="G234" s="842"/>
      <c r="H234" s="784"/>
      <c r="I234" s="784"/>
      <c r="J234" s="784"/>
      <c r="K234" s="357"/>
      <c r="L234" s="3"/>
      <c r="M234" s="3"/>
      <c r="N234" s="3"/>
      <c r="O234" s="3"/>
    </row>
    <row r="235" spans="1:68" ht="12" customHeight="1" x14ac:dyDescent="0.25">
      <c r="A235" s="856"/>
      <c r="B235" s="834"/>
      <c r="C235" s="835"/>
      <c r="D235" s="835"/>
      <c r="E235" s="835"/>
      <c r="F235" s="836"/>
      <c r="G235" s="843"/>
      <c r="H235" s="785"/>
      <c r="I235" s="785"/>
      <c r="J235" s="785"/>
      <c r="K235" s="357"/>
      <c r="L235" s="3"/>
      <c r="M235" s="3"/>
      <c r="N235" s="3"/>
      <c r="O235" s="3"/>
    </row>
    <row r="236" spans="1:68" ht="12.75" customHeight="1" x14ac:dyDescent="0.25">
      <c r="A236" s="932" t="s">
        <v>123</v>
      </c>
      <c r="B236" s="810" t="s">
        <v>28</v>
      </c>
      <c r="C236" s="811"/>
      <c r="D236" s="811"/>
      <c r="E236" s="811"/>
      <c r="F236" s="812"/>
      <c r="G236" s="860" t="str">
        <f>IF(AND(fio&lt;&gt;"",H236="",I236="",J236=""),0,"")</f>
        <v/>
      </c>
      <c r="H236" s="777"/>
      <c r="I236" s="777"/>
      <c r="J236" s="777"/>
      <c r="K236" s="357"/>
      <c r="L236" s="761">
        <f>MAX(G236:J239)</f>
        <v>0</v>
      </c>
      <c r="M236" s="758">
        <v>60</v>
      </c>
      <c r="N236" s="758"/>
      <c r="O236" s="3"/>
    </row>
    <row r="237" spans="1:68" ht="12.75" customHeight="1" x14ac:dyDescent="0.25">
      <c r="A237" s="933"/>
      <c r="B237" s="813"/>
      <c r="C237" s="814"/>
      <c r="D237" s="814"/>
      <c r="E237" s="814"/>
      <c r="F237" s="815"/>
      <c r="G237" s="861"/>
      <c r="H237" s="778"/>
      <c r="I237" s="778"/>
      <c r="J237" s="778"/>
      <c r="K237" s="357"/>
      <c r="L237" s="761"/>
      <c r="M237" s="759"/>
      <c r="N237" s="759"/>
      <c r="O237" s="3"/>
    </row>
    <row r="238" spans="1:68" ht="12.75" customHeight="1" x14ac:dyDescent="0.25">
      <c r="A238" s="933"/>
      <c r="B238" s="813"/>
      <c r="C238" s="814"/>
      <c r="D238" s="814"/>
      <c r="E238" s="814"/>
      <c r="F238" s="815"/>
      <c r="G238" s="861"/>
      <c r="H238" s="778"/>
      <c r="I238" s="778"/>
      <c r="J238" s="778"/>
      <c r="K238" s="357"/>
      <c r="L238" s="761"/>
      <c r="M238" s="759"/>
      <c r="N238" s="759"/>
      <c r="O238" s="3"/>
    </row>
    <row r="239" spans="1:68" ht="10.5" customHeight="1" x14ac:dyDescent="0.25">
      <c r="A239" s="934"/>
      <c r="B239" s="816"/>
      <c r="C239" s="817"/>
      <c r="D239" s="817"/>
      <c r="E239" s="817"/>
      <c r="F239" s="818"/>
      <c r="G239" s="862"/>
      <c r="H239" s="779"/>
      <c r="I239" s="779"/>
      <c r="J239" s="779"/>
      <c r="K239" s="357"/>
      <c r="L239" s="761"/>
      <c r="M239" s="760"/>
      <c r="N239" s="760"/>
      <c r="O239" s="3"/>
    </row>
    <row r="240" spans="1:68" ht="12.75" customHeight="1" x14ac:dyDescent="0.25">
      <c r="A240" s="932" t="s">
        <v>124</v>
      </c>
      <c r="B240" s="810" t="s">
        <v>505</v>
      </c>
      <c r="C240" s="811"/>
      <c r="D240" s="811"/>
      <c r="E240" s="811"/>
      <c r="F240" s="812"/>
      <c r="G240" s="860" t="str">
        <f>IF(AND(fio&lt;&gt;"",H240="",I240="",J240=""),0,"")</f>
        <v/>
      </c>
      <c r="H240" s="777"/>
      <c r="I240" s="777"/>
      <c r="J240" s="777"/>
      <c r="K240" s="357"/>
      <c r="L240" s="761">
        <f>MAX(G240:J244)</f>
        <v>0</v>
      </c>
      <c r="M240" s="758">
        <v>60</v>
      </c>
      <c r="N240" s="758"/>
    </row>
    <row r="241" spans="1:68" ht="12.75" customHeight="1" x14ac:dyDescent="0.25">
      <c r="A241" s="933"/>
      <c r="B241" s="813"/>
      <c r="C241" s="814"/>
      <c r="D241" s="814"/>
      <c r="E241" s="814"/>
      <c r="F241" s="815"/>
      <c r="G241" s="861"/>
      <c r="H241" s="778"/>
      <c r="I241" s="778"/>
      <c r="J241" s="778"/>
      <c r="K241" s="357"/>
      <c r="L241" s="761"/>
      <c r="M241" s="759"/>
      <c r="N241" s="759"/>
    </row>
    <row r="242" spans="1:68" ht="12.75" customHeight="1" x14ac:dyDescent="0.25">
      <c r="A242" s="933"/>
      <c r="B242" s="813"/>
      <c r="C242" s="814"/>
      <c r="D242" s="814"/>
      <c r="E242" s="814"/>
      <c r="F242" s="815"/>
      <c r="G242" s="861"/>
      <c r="H242" s="778"/>
      <c r="I242" s="778"/>
      <c r="J242" s="778"/>
      <c r="K242" s="357"/>
      <c r="L242" s="761"/>
      <c r="M242" s="759"/>
      <c r="N242" s="759"/>
    </row>
    <row r="243" spans="1:68" ht="3.75" customHeight="1" x14ac:dyDescent="0.25">
      <c r="A243" s="933"/>
      <c r="B243" s="813"/>
      <c r="C243" s="814"/>
      <c r="D243" s="814"/>
      <c r="E243" s="814"/>
      <c r="F243" s="815"/>
      <c r="G243" s="861"/>
      <c r="H243" s="778"/>
      <c r="I243" s="778"/>
      <c r="J243" s="778"/>
      <c r="K243" s="357"/>
      <c r="L243" s="761"/>
      <c r="M243" s="759"/>
      <c r="N243" s="759"/>
    </row>
    <row r="244" spans="1:68" ht="5.25" customHeight="1" x14ac:dyDescent="0.25">
      <c r="A244" s="934"/>
      <c r="B244" s="816"/>
      <c r="C244" s="817"/>
      <c r="D244" s="817"/>
      <c r="E244" s="817"/>
      <c r="F244" s="818"/>
      <c r="G244" s="862"/>
      <c r="H244" s="779"/>
      <c r="I244" s="779"/>
      <c r="J244" s="779"/>
      <c r="K244" s="357"/>
      <c r="L244" s="761"/>
      <c r="M244" s="760"/>
      <c r="N244" s="760"/>
    </row>
    <row r="245" spans="1:68" ht="12.75" customHeight="1" x14ac:dyDescent="0.25">
      <c r="A245" s="932" t="s">
        <v>125</v>
      </c>
      <c r="B245" s="810" t="s">
        <v>456</v>
      </c>
      <c r="C245" s="811"/>
      <c r="D245" s="811"/>
      <c r="E245" s="811"/>
      <c r="F245" s="812"/>
      <c r="G245" s="860" t="str">
        <f>IF(AND(fio&lt;&gt;"",H245="",I245="",J245=""),0,"")</f>
        <v/>
      </c>
      <c r="H245" s="777"/>
      <c r="I245" s="777"/>
      <c r="J245" s="777"/>
      <c r="K245" s="357"/>
      <c r="L245" s="761">
        <f>MAX(G245:J248)</f>
        <v>0</v>
      </c>
      <c r="M245" s="758">
        <v>60</v>
      </c>
      <c r="N245" s="758"/>
    </row>
    <row r="246" spans="1:68" ht="6" customHeight="1" x14ac:dyDescent="0.25">
      <c r="A246" s="933"/>
      <c r="B246" s="813"/>
      <c r="C246" s="814"/>
      <c r="D246" s="814"/>
      <c r="E246" s="814"/>
      <c r="F246" s="815"/>
      <c r="G246" s="861"/>
      <c r="H246" s="778"/>
      <c r="I246" s="778"/>
      <c r="J246" s="778"/>
      <c r="K246" s="357"/>
      <c r="L246" s="761"/>
      <c r="M246" s="759"/>
      <c r="N246" s="759"/>
    </row>
    <row r="247" spans="1:68" ht="12.75" customHeight="1" x14ac:dyDescent="0.25">
      <c r="A247" s="933"/>
      <c r="B247" s="813"/>
      <c r="C247" s="814"/>
      <c r="D247" s="814"/>
      <c r="E247" s="814"/>
      <c r="F247" s="815"/>
      <c r="G247" s="861"/>
      <c r="H247" s="778"/>
      <c r="I247" s="778"/>
      <c r="J247" s="778"/>
      <c r="K247" s="357"/>
      <c r="L247" s="761"/>
      <c r="M247" s="759"/>
      <c r="N247" s="759"/>
    </row>
    <row r="248" spans="1:68" ht="12.75" customHeight="1" x14ac:dyDescent="0.25">
      <c r="A248" s="934"/>
      <c r="B248" s="816"/>
      <c r="C248" s="817"/>
      <c r="D248" s="817"/>
      <c r="E248" s="817"/>
      <c r="F248" s="818"/>
      <c r="G248" s="862"/>
      <c r="H248" s="779"/>
      <c r="I248" s="779"/>
      <c r="J248" s="779"/>
      <c r="K248" s="357"/>
      <c r="L248" s="761"/>
      <c r="M248" s="760"/>
      <c r="N248" s="760"/>
    </row>
    <row r="249" spans="1:68" ht="12.75" customHeight="1" x14ac:dyDescent="0.25">
      <c r="A249" s="932" t="s">
        <v>126</v>
      </c>
      <c r="B249" s="810" t="s">
        <v>29</v>
      </c>
      <c r="C249" s="811"/>
      <c r="D249" s="811"/>
      <c r="E249" s="811"/>
      <c r="F249" s="812"/>
      <c r="G249" s="860" t="str">
        <f>IF(AND(fio&lt;&gt;"",H249="",I249="",J249=""),0,"")</f>
        <v/>
      </c>
      <c r="H249" s="777"/>
      <c r="I249" s="777"/>
      <c r="J249" s="777"/>
      <c r="K249" s="357"/>
      <c r="L249" s="761">
        <f>MAX(G249:J252)</f>
        <v>0</v>
      </c>
      <c r="M249" s="758">
        <v>60</v>
      </c>
      <c r="N249" s="758"/>
    </row>
    <row r="250" spans="1:68" ht="12.75" customHeight="1" x14ac:dyDescent="0.25">
      <c r="A250" s="933"/>
      <c r="B250" s="813"/>
      <c r="C250" s="814"/>
      <c r="D250" s="814"/>
      <c r="E250" s="814"/>
      <c r="F250" s="815"/>
      <c r="G250" s="861"/>
      <c r="H250" s="778"/>
      <c r="I250" s="778"/>
      <c r="J250" s="778"/>
      <c r="K250" s="357"/>
      <c r="L250" s="761"/>
      <c r="M250" s="759"/>
      <c r="N250" s="759"/>
    </row>
    <row r="251" spans="1:68" ht="6.75" customHeight="1" x14ac:dyDescent="0.25">
      <c r="A251" s="933"/>
      <c r="B251" s="813"/>
      <c r="C251" s="814"/>
      <c r="D251" s="814"/>
      <c r="E251" s="814"/>
      <c r="F251" s="815"/>
      <c r="G251" s="861"/>
      <c r="H251" s="778"/>
      <c r="I251" s="778"/>
      <c r="J251" s="778"/>
      <c r="K251" s="357"/>
      <c r="L251" s="761"/>
      <c r="M251" s="759"/>
      <c r="N251" s="759"/>
    </row>
    <row r="252" spans="1:68" ht="12.75" customHeight="1" x14ac:dyDescent="0.25">
      <c r="A252" s="934"/>
      <c r="B252" s="816"/>
      <c r="C252" s="817"/>
      <c r="D252" s="817"/>
      <c r="E252" s="817"/>
      <c r="F252" s="818"/>
      <c r="G252" s="862"/>
      <c r="H252" s="779"/>
      <c r="I252" s="779"/>
      <c r="J252" s="779"/>
      <c r="K252" s="357"/>
      <c r="L252" s="761"/>
      <c r="M252" s="760"/>
      <c r="N252" s="760"/>
    </row>
    <row r="253" spans="1:68" s="361" customFormat="1" ht="20.25" customHeight="1" x14ac:dyDescent="0.25">
      <c r="A253" s="78" t="s">
        <v>459</v>
      </c>
      <c r="B253" s="1030" t="s">
        <v>460</v>
      </c>
      <c r="C253" s="1030"/>
      <c r="D253" s="1030"/>
      <c r="E253" s="1030"/>
      <c r="F253" s="1030"/>
      <c r="G253" s="1030"/>
      <c r="H253" s="1030"/>
      <c r="I253" s="1030"/>
      <c r="J253" s="411"/>
      <c r="K253" s="357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  <c r="AA253" s="411"/>
      <c r="AB253" s="411"/>
      <c r="AC253" s="411"/>
      <c r="AD253" s="411"/>
      <c r="AE253" s="411"/>
      <c r="AF253" s="411"/>
      <c r="AG253" s="411"/>
      <c r="AH253" s="411"/>
      <c r="AI253" s="411"/>
      <c r="AJ253" s="411"/>
      <c r="AK253" s="411"/>
      <c r="AL253" s="411"/>
      <c r="AM253" s="411"/>
      <c r="AN253" s="411"/>
      <c r="AO253" s="411"/>
      <c r="AP253" s="411"/>
      <c r="AQ253" s="411"/>
      <c r="AR253" s="411"/>
      <c r="AS253" s="411"/>
      <c r="AT253" s="411"/>
      <c r="AU253" s="411"/>
      <c r="AV253" s="411"/>
      <c r="AW253" s="411"/>
      <c r="AX253" s="411"/>
      <c r="AY253" s="411"/>
      <c r="AZ253" s="411"/>
      <c r="BA253" s="411"/>
      <c r="BB253" s="411"/>
      <c r="BC253" s="411"/>
      <c r="BD253" s="411"/>
      <c r="BE253" s="411"/>
      <c r="BF253" s="386"/>
      <c r="BG253" s="412"/>
      <c r="BJ253" s="413"/>
    </row>
    <row r="254" spans="1:68" ht="13.2" x14ac:dyDescent="0.25">
      <c r="A254" s="853" t="s">
        <v>461</v>
      </c>
      <c r="B254" s="853"/>
      <c r="C254" s="853"/>
      <c r="D254" s="853"/>
      <c r="E254" s="853"/>
      <c r="F254" s="853"/>
      <c r="G254" s="853"/>
      <c r="H254" s="853"/>
      <c r="I254" s="853"/>
      <c r="J254" s="853"/>
      <c r="K254" s="357"/>
      <c r="L254" s="3"/>
      <c r="M254" s="3"/>
      <c r="N254" s="3"/>
      <c r="O254" s="3"/>
      <c r="BF254" s="386"/>
      <c r="BG254" s="36"/>
      <c r="BH254" s="36"/>
      <c r="BI254" s="36"/>
      <c r="BJ254" s="139"/>
    </row>
    <row r="255" spans="1:68" s="385" customFormat="1" ht="3" hidden="1" customHeight="1" x14ac:dyDescent="0.25">
      <c r="A255" s="410"/>
      <c r="B255" s="410"/>
      <c r="C255" s="410"/>
      <c r="D255" s="411"/>
      <c r="E255" s="411"/>
      <c r="F255" s="411"/>
      <c r="G255" s="411"/>
      <c r="H255" s="411"/>
      <c r="I255" s="411"/>
      <c r="J255" s="411"/>
      <c r="K255" s="357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411"/>
      <c r="W255" s="411"/>
      <c r="X255" s="411"/>
      <c r="Y255" s="411"/>
      <c r="Z255" s="411"/>
      <c r="AA255" s="411"/>
      <c r="AB255" s="411"/>
      <c r="AC255" s="411"/>
      <c r="AD255" s="411"/>
      <c r="AE255" s="411"/>
      <c r="AF255" s="411"/>
      <c r="AG255" s="411"/>
      <c r="AH255" s="411"/>
      <c r="AI255" s="411"/>
      <c r="AJ255" s="411"/>
      <c r="AK255" s="411"/>
      <c r="AL255" s="411"/>
      <c r="AM255" s="411"/>
      <c r="AN255" s="411"/>
      <c r="AO255" s="411"/>
      <c r="AP255" s="411"/>
      <c r="AQ255" s="411"/>
      <c r="AR255" s="411"/>
      <c r="AS255" s="411"/>
      <c r="AT255" s="411"/>
      <c r="AU255" s="411"/>
      <c r="AV255" s="411"/>
      <c r="AW255" s="411"/>
      <c r="AX255" s="411"/>
      <c r="AY255" s="411"/>
      <c r="AZ255" s="411"/>
      <c r="BA255" s="411"/>
      <c r="BB255" s="411"/>
      <c r="BC255" s="411"/>
      <c r="BD255" s="411"/>
      <c r="BE255" s="411"/>
      <c r="BF255" s="411"/>
      <c r="BG255" s="411"/>
      <c r="BH255" s="411"/>
      <c r="BI255" s="411"/>
      <c r="BJ255" s="411"/>
      <c r="BK255" s="361"/>
      <c r="BL255" s="361"/>
      <c r="BM255" s="361"/>
      <c r="BN255" s="361"/>
      <c r="BO255" s="361"/>
      <c r="BP255" s="361"/>
    </row>
    <row r="256" spans="1:68" ht="12.75" customHeight="1" x14ac:dyDescent="0.25">
      <c r="A256" s="854" t="s">
        <v>449</v>
      </c>
      <c r="B256" s="844" t="s">
        <v>462</v>
      </c>
      <c r="C256" s="845"/>
      <c r="D256" s="845"/>
      <c r="E256" s="845"/>
      <c r="F256" s="846"/>
      <c r="G256" s="1027" t="s">
        <v>122</v>
      </c>
      <c r="H256" s="1028"/>
      <c r="I256" s="1028"/>
      <c r="J256" s="1029"/>
      <c r="K256" s="357"/>
      <c r="L256" s="3"/>
      <c r="M256" s="3"/>
      <c r="N256" s="3"/>
      <c r="O256" s="3"/>
      <c r="P256" s="361"/>
      <c r="Q256" s="361"/>
      <c r="R256" s="361"/>
      <c r="S256" s="361"/>
      <c r="T256" s="361"/>
    </row>
    <row r="257" spans="1:20" ht="12.75" customHeight="1" x14ac:dyDescent="0.25">
      <c r="A257" s="855"/>
      <c r="B257" s="847"/>
      <c r="C257" s="848"/>
      <c r="D257" s="848"/>
      <c r="E257" s="848"/>
      <c r="F257" s="849"/>
      <c r="G257" s="857" t="s">
        <v>463</v>
      </c>
      <c r="H257" s="858"/>
      <c r="I257" s="858"/>
      <c r="J257" s="859"/>
      <c r="K257" s="357"/>
      <c r="L257" s="3"/>
      <c r="M257" s="3"/>
      <c r="N257" s="3"/>
      <c r="O257" s="3"/>
      <c r="P257" s="361"/>
      <c r="Q257" s="361"/>
      <c r="R257" s="361"/>
      <c r="S257" s="361"/>
      <c r="T257" s="361"/>
    </row>
    <row r="258" spans="1:20" ht="12.75" customHeight="1" x14ac:dyDescent="0.25">
      <c r="A258" s="855"/>
      <c r="B258" s="847"/>
      <c r="C258" s="848"/>
      <c r="D258" s="848"/>
      <c r="E258" s="848"/>
      <c r="F258" s="849"/>
      <c r="G258" s="415">
        <v>0</v>
      </c>
      <c r="H258" s="416" t="s">
        <v>464</v>
      </c>
      <c r="I258" s="416" t="s">
        <v>465</v>
      </c>
      <c r="J258" s="417" t="s">
        <v>466</v>
      </c>
      <c r="K258" s="357"/>
      <c r="L258" s="361"/>
      <c r="M258" s="361"/>
      <c r="N258" s="413"/>
      <c r="O258" s="361"/>
      <c r="P258" s="361"/>
      <c r="Q258" s="361"/>
      <c r="R258" s="361"/>
      <c r="S258" s="361"/>
      <c r="T258" s="361"/>
    </row>
    <row r="259" spans="1:20" ht="12.75" customHeight="1" x14ac:dyDescent="0.25">
      <c r="A259" s="855"/>
      <c r="B259" s="850" t="s">
        <v>467</v>
      </c>
      <c r="C259" s="851"/>
      <c r="D259" s="851"/>
      <c r="E259" s="851"/>
      <c r="F259" s="852"/>
      <c r="G259" s="841" t="s">
        <v>455</v>
      </c>
      <c r="H259" s="783" t="s">
        <v>458</v>
      </c>
      <c r="I259" s="783" t="s">
        <v>457</v>
      </c>
      <c r="J259" s="783" t="s">
        <v>30</v>
      </c>
      <c r="K259" s="357"/>
      <c r="L259" s="361"/>
      <c r="M259" s="361"/>
      <c r="N259" s="413"/>
      <c r="O259" s="361"/>
      <c r="P259" s="361"/>
      <c r="Q259" s="361"/>
      <c r="R259" s="361"/>
      <c r="S259" s="361"/>
      <c r="T259" s="361"/>
    </row>
    <row r="260" spans="1:20" ht="12.75" customHeight="1" x14ac:dyDescent="0.25">
      <c r="A260" s="855"/>
      <c r="B260" s="850"/>
      <c r="C260" s="851"/>
      <c r="D260" s="851"/>
      <c r="E260" s="851"/>
      <c r="F260" s="852"/>
      <c r="G260" s="842"/>
      <c r="H260" s="784"/>
      <c r="I260" s="784"/>
      <c r="J260" s="784"/>
      <c r="K260" s="357"/>
      <c r="L260" s="361"/>
      <c r="M260" s="361"/>
      <c r="N260" s="413"/>
      <c r="O260" s="361"/>
      <c r="P260" s="361"/>
      <c r="Q260" s="361"/>
      <c r="R260" s="361"/>
      <c r="S260" s="361"/>
      <c r="T260" s="361"/>
    </row>
    <row r="261" spans="1:20" ht="12.75" customHeight="1" x14ac:dyDescent="0.25">
      <c r="A261" s="855"/>
      <c r="B261" s="850"/>
      <c r="C261" s="851"/>
      <c r="D261" s="851"/>
      <c r="E261" s="851"/>
      <c r="F261" s="852"/>
      <c r="G261" s="842"/>
      <c r="H261" s="784"/>
      <c r="I261" s="784"/>
      <c r="J261" s="784"/>
      <c r="K261" s="357"/>
      <c r="L261" s="3"/>
      <c r="M261" s="3"/>
      <c r="N261" s="3"/>
      <c r="O261" s="3"/>
    </row>
    <row r="262" spans="1:20" ht="13.2" x14ac:dyDescent="0.25">
      <c r="A262" s="856"/>
      <c r="B262" s="745"/>
      <c r="C262" s="746"/>
      <c r="D262" s="746"/>
      <c r="E262" s="746"/>
      <c r="F262" s="747"/>
      <c r="G262" s="843"/>
      <c r="H262" s="785"/>
      <c r="I262" s="785"/>
      <c r="J262" s="785"/>
      <c r="K262" s="357"/>
      <c r="L262" s="3"/>
      <c r="M262" s="3"/>
      <c r="N262" s="3"/>
      <c r="O262" s="3"/>
    </row>
    <row r="263" spans="1:20" ht="12.75" customHeight="1" x14ac:dyDescent="0.25">
      <c r="A263" s="932" t="s">
        <v>123</v>
      </c>
      <c r="B263" s="909"/>
      <c r="C263" s="910"/>
      <c r="D263" s="910"/>
      <c r="E263" s="910"/>
      <c r="F263" s="911"/>
      <c r="G263" s="838" t="str">
        <f>IF(AND(fio&lt;&gt;"",H263="",I263="",J263=""),0,IF($E$50="первая","Не  запол- нять на первую !",""))</f>
        <v/>
      </c>
      <c r="H263" s="777"/>
      <c r="I263" s="777"/>
      <c r="J263" s="777"/>
      <c r="K263" s="357"/>
      <c r="L263" s="761">
        <f>IF($E$50="первая",0,MAX(G263:J267))</f>
        <v>0</v>
      </c>
      <c r="M263" s="758">
        <v>100</v>
      </c>
      <c r="N263" s="758"/>
      <c r="O263" s="3"/>
    </row>
    <row r="264" spans="1:20" ht="9.9" customHeight="1" x14ac:dyDescent="0.25">
      <c r="A264" s="933"/>
      <c r="B264" s="912"/>
      <c r="C264" s="913"/>
      <c r="D264" s="913"/>
      <c r="E264" s="913"/>
      <c r="F264" s="914"/>
      <c r="G264" s="839"/>
      <c r="H264" s="778"/>
      <c r="I264" s="778"/>
      <c r="J264" s="778"/>
      <c r="K264" s="357"/>
      <c r="L264" s="761"/>
      <c r="M264" s="759"/>
      <c r="N264" s="759"/>
      <c r="O264" s="3"/>
    </row>
    <row r="265" spans="1:20" ht="9.9" customHeight="1" x14ac:dyDescent="0.25">
      <c r="A265" s="933"/>
      <c r="B265" s="912"/>
      <c r="C265" s="913"/>
      <c r="D265" s="913"/>
      <c r="E265" s="913"/>
      <c r="F265" s="914"/>
      <c r="G265" s="839"/>
      <c r="H265" s="778"/>
      <c r="I265" s="778"/>
      <c r="J265" s="778"/>
      <c r="K265" s="357"/>
      <c r="L265" s="761"/>
      <c r="M265" s="759"/>
      <c r="N265" s="759"/>
      <c r="O265" s="3"/>
    </row>
    <row r="266" spans="1:20" ht="9.9" customHeight="1" x14ac:dyDescent="0.25">
      <c r="A266" s="933"/>
      <c r="B266" s="912"/>
      <c r="C266" s="913"/>
      <c r="D266" s="913"/>
      <c r="E266" s="913"/>
      <c r="F266" s="914"/>
      <c r="G266" s="839"/>
      <c r="H266" s="778"/>
      <c r="I266" s="778"/>
      <c r="J266" s="778"/>
      <c r="K266" s="357"/>
      <c r="L266" s="761"/>
      <c r="M266" s="759"/>
      <c r="N266" s="759"/>
      <c r="O266" s="3"/>
    </row>
    <row r="267" spans="1:20" ht="9.9" customHeight="1" x14ac:dyDescent="0.25">
      <c r="A267" s="934"/>
      <c r="B267" s="915"/>
      <c r="C267" s="916"/>
      <c r="D267" s="916"/>
      <c r="E267" s="916"/>
      <c r="F267" s="917"/>
      <c r="G267" s="840"/>
      <c r="H267" s="779"/>
      <c r="I267" s="779"/>
      <c r="J267" s="779"/>
      <c r="K267" s="357"/>
      <c r="L267" s="761"/>
      <c r="M267" s="760"/>
      <c r="N267" s="760"/>
      <c r="O267" s="3"/>
    </row>
    <row r="268" spans="1:20" ht="12.75" customHeight="1" x14ac:dyDescent="0.25">
      <c r="A268" s="932" t="s">
        <v>124</v>
      </c>
      <c r="B268" s="909"/>
      <c r="C268" s="910"/>
      <c r="D268" s="910"/>
      <c r="E268" s="910"/>
      <c r="F268" s="911"/>
      <c r="G268" s="838" t="str">
        <f>IF(AND(fio&lt;&gt;"",H268="",I268="",J268=""),0,IF($E$50="первая","Не  запол- нять на первую !",""))</f>
        <v/>
      </c>
      <c r="H268" s="777"/>
      <c r="I268" s="777"/>
      <c r="J268" s="777"/>
      <c r="K268" s="357"/>
      <c r="L268" s="761">
        <f>IF($E$50="первая",0,MAX(G268:J272))</f>
        <v>0</v>
      </c>
      <c r="M268" s="758">
        <v>100</v>
      </c>
      <c r="N268" s="758"/>
    </row>
    <row r="269" spans="1:20" ht="9.9" customHeight="1" x14ac:dyDescent="0.25">
      <c r="A269" s="933"/>
      <c r="B269" s="912"/>
      <c r="C269" s="913"/>
      <c r="D269" s="913"/>
      <c r="E269" s="913"/>
      <c r="F269" s="914"/>
      <c r="G269" s="839"/>
      <c r="H269" s="778"/>
      <c r="I269" s="778"/>
      <c r="J269" s="778"/>
      <c r="K269" s="357"/>
      <c r="L269" s="761"/>
      <c r="M269" s="759"/>
      <c r="N269" s="759"/>
    </row>
    <row r="270" spans="1:20" ht="9.9" customHeight="1" x14ac:dyDescent="0.25">
      <c r="A270" s="933"/>
      <c r="B270" s="912"/>
      <c r="C270" s="913"/>
      <c r="D270" s="913"/>
      <c r="E270" s="913"/>
      <c r="F270" s="914"/>
      <c r="G270" s="839"/>
      <c r="H270" s="778"/>
      <c r="I270" s="778"/>
      <c r="J270" s="778"/>
      <c r="K270" s="357"/>
      <c r="L270" s="761"/>
      <c r="M270" s="759"/>
      <c r="N270" s="759"/>
    </row>
    <row r="271" spans="1:20" ht="9.9" customHeight="1" x14ac:dyDescent="0.25">
      <c r="A271" s="933"/>
      <c r="B271" s="912"/>
      <c r="C271" s="913"/>
      <c r="D271" s="913"/>
      <c r="E271" s="913"/>
      <c r="F271" s="914"/>
      <c r="G271" s="839"/>
      <c r="H271" s="778"/>
      <c r="I271" s="778"/>
      <c r="J271" s="778"/>
      <c r="K271" s="357"/>
      <c r="L271" s="761"/>
      <c r="M271" s="759"/>
      <c r="N271" s="759"/>
    </row>
    <row r="272" spans="1:20" ht="9.9" customHeight="1" x14ac:dyDescent="0.25">
      <c r="A272" s="934"/>
      <c r="B272" s="915"/>
      <c r="C272" s="916"/>
      <c r="D272" s="916"/>
      <c r="E272" s="916"/>
      <c r="F272" s="917"/>
      <c r="G272" s="840"/>
      <c r="H272" s="779"/>
      <c r="I272" s="779"/>
      <c r="J272" s="779"/>
      <c r="K272" s="357"/>
      <c r="L272" s="761"/>
      <c r="M272" s="760"/>
      <c r="N272" s="760"/>
    </row>
    <row r="273" spans="1:18" ht="12.75" customHeight="1" x14ac:dyDescent="0.25">
      <c r="A273" s="932" t="s">
        <v>125</v>
      </c>
      <c r="B273" s="909"/>
      <c r="C273" s="910"/>
      <c r="D273" s="910"/>
      <c r="E273" s="910"/>
      <c r="F273" s="911"/>
      <c r="G273" s="838" t="str">
        <f>IF(AND(fio&lt;&gt;"",H273="",I273="",J273=""),0,IF($E$50="первая","Не  запол- нять на первую !",""))</f>
        <v/>
      </c>
      <c r="H273" s="777"/>
      <c r="I273" s="777"/>
      <c r="J273" s="777"/>
      <c r="K273" s="357"/>
      <c r="L273" s="761">
        <f>IF($E$50="первая",0,MAX(G273:J277))</f>
        <v>0</v>
      </c>
      <c r="M273" s="758">
        <v>100</v>
      </c>
      <c r="N273" s="758"/>
    </row>
    <row r="274" spans="1:18" ht="9.9" customHeight="1" x14ac:dyDescent="0.25">
      <c r="A274" s="933"/>
      <c r="B274" s="912"/>
      <c r="C274" s="913"/>
      <c r="D274" s="913"/>
      <c r="E274" s="913"/>
      <c r="F274" s="914"/>
      <c r="G274" s="839"/>
      <c r="H274" s="778"/>
      <c r="I274" s="778"/>
      <c r="J274" s="778"/>
      <c r="K274" s="357"/>
      <c r="L274" s="761"/>
      <c r="M274" s="759"/>
      <c r="N274" s="759"/>
    </row>
    <row r="275" spans="1:18" ht="9.9" customHeight="1" x14ac:dyDescent="0.25">
      <c r="A275" s="933"/>
      <c r="B275" s="912"/>
      <c r="C275" s="913"/>
      <c r="D275" s="913"/>
      <c r="E275" s="913"/>
      <c r="F275" s="914"/>
      <c r="G275" s="839"/>
      <c r="H275" s="778"/>
      <c r="I275" s="778"/>
      <c r="J275" s="778"/>
      <c r="K275" s="357"/>
      <c r="L275" s="761"/>
      <c r="M275" s="759"/>
      <c r="N275" s="759"/>
    </row>
    <row r="276" spans="1:18" ht="9.9" customHeight="1" x14ac:dyDescent="0.25">
      <c r="A276" s="933"/>
      <c r="B276" s="912"/>
      <c r="C276" s="913"/>
      <c r="D276" s="913"/>
      <c r="E276" s="913"/>
      <c r="F276" s="914"/>
      <c r="G276" s="839"/>
      <c r="H276" s="778"/>
      <c r="I276" s="778"/>
      <c r="J276" s="778"/>
      <c r="K276" s="357"/>
      <c r="L276" s="761"/>
      <c r="M276" s="759"/>
      <c r="N276" s="759"/>
    </row>
    <row r="277" spans="1:18" ht="9.9" customHeight="1" x14ac:dyDescent="0.25">
      <c r="A277" s="934"/>
      <c r="B277" s="915"/>
      <c r="C277" s="916"/>
      <c r="D277" s="916"/>
      <c r="E277" s="916"/>
      <c r="F277" s="917"/>
      <c r="G277" s="840"/>
      <c r="H277" s="779"/>
      <c r="I277" s="779"/>
      <c r="J277" s="779"/>
      <c r="K277" s="357"/>
      <c r="L277" s="761"/>
      <c r="M277" s="760"/>
      <c r="N277" s="760"/>
    </row>
    <row r="278" spans="1:18" ht="12.75" customHeight="1" x14ac:dyDescent="0.25">
      <c r="A278" s="932" t="s">
        <v>126</v>
      </c>
      <c r="B278" s="909"/>
      <c r="C278" s="910"/>
      <c r="D278" s="910"/>
      <c r="E278" s="910"/>
      <c r="F278" s="911"/>
      <c r="G278" s="838" t="str">
        <f>IF(AND(fio&lt;&gt;"",H278="",I278="",J278=""),0,IF($E$50="первая","Не  запол- нять на первую !",""))</f>
        <v/>
      </c>
      <c r="H278" s="777"/>
      <c r="I278" s="777"/>
      <c r="J278" s="777"/>
      <c r="K278" s="357"/>
      <c r="L278" s="761">
        <f>IF($E$50="первая",0,MAX(G278:J282))</f>
        <v>0</v>
      </c>
      <c r="M278" s="758">
        <v>100</v>
      </c>
      <c r="N278" s="758"/>
    </row>
    <row r="279" spans="1:18" ht="9.9" customHeight="1" x14ac:dyDescent="0.25">
      <c r="A279" s="933"/>
      <c r="B279" s="912"/>
      <c r="C279" s="913"/>
      <c r="D279" s="913"/>
      <c r="E279" s="913"/>
      <c r="F279" s="914"/>
      <c r="G279" s="839"/>
      <c r="H279" s="778"/>
      <c r="I279" s="778"/>
      <c r="J279" s="778"/>
      <c r="K279" s="357"/>
      <c r="L279" s="761"/>
      <c r="M279" s="759"/>
      <c r="N279" s="759"/>
    </row>
    <row r="280" spans="1:18" ht="9.9" customHeight="1" x14ac:dyDescent="0.25">
      <c r="A280" s="933"/>
      <c r="B280" s="912"/>
      <c r="C280" s="913"/>
      <c r="D280" s="913"/>
      <c r="E280" s="913"/>
      <c r="F280" s="914"/>
      <c r="G280" s="839"/>
      <c r="H280" s="778"/>
      <c r="I280" s="778"/>
      <c r="J280" s="778"/>
      <c r="K280" s="357"/>
      <c r="L280" s="761"/>
      <c r="M280" s="759"/>
      <c r="N280" s="759"/>
    </row>
    <row r="281" spans="1:18" ht="9.9" customHeight="1" x14ac:dyDescent="0.25">
      <c r="A281" s="933"/>
      <c r="B281" s="912"/>
      <c r="C281" s="913"/>
      <c r="D281" s="913"/>
      <c r="E281" s="913"/>
      <c r="F281" s="914"/>
      <c r="G281" s="839"/>
      <c r="H281" s="778"/>
      <c r="I281" s="778"/>
      <c r="J281" s="778"/>
      <c r="K281" s="357"/>
      <c r="L281" s="761"/>
      <c r="M281" s="759"/>
      <c r="N281" s="759"/>
    </row>
    <row r="282" spans="1:18" ht="7.5" customHeight="1" x14ac:dyDescent="0.25">
      <c r="A282" s="934"/>
      <c r="B282" s="915"/>
      <c r="C282" s="916"/>
      <c r="D282" s="916"/>
      <c r="E282" s="916"/>
      <c r="F282" s="917"/>
      <c r="G282" s="840"/>
      <c r="H282" s="779"/>
      <c r="I282" s="779"/>
      <c r="J282" s="779"/>
      <c r="K282" s="357"/>
      <c r="L282" s="761"/>
      <c r="M282" s="760"/>
      <c r="N282" s="760"/>
    </row>
    <row r="283" spans="1:18" ht="12.75" customHeight="1" x14ac:dyDescent="0.25">
      <c r="A283" s="932" t="s">
        <v>502</v>
      </c>
      <c r="B283" s="909"/>
      <c r="C283" s="910"/>
      <c r="D283" s="910"/>
      <c r="E283" s="910"/>
      <c r="F283" s="911"/>
      <c r="G283" s="838" t="str">
        <f>IF(AND(fio&lt;&gt;"",H283="",I283="",J283=""),0,IF($E$50="первая","Не  запол- нять на первую !",""))</f>
        <v/>
      </c>
      <c r="H283" s="777"/>
      <c r="I283" s="777"/>
      <c r="J283" s="777"/>
      <c r="K283" s="357"/>
      <c r="L283" s="761">
        <f>IF($E$50="первая",0,MAX(G283:J287))</f>
        <v>0</v>
      </c>
      <c r="M283" s="758">
        <v>100</v>
      </c>
      <c r="N283" s="758"/>
    </row>
    <row r="284" spans="1:18" ht="9.9" customHeight="1" x14ac:dyDescent="0.25">
      <c r="A284" s="933"/>
      <c r="B284" s="912"/>
      <c r="C284" s="913"/>
      <c r="D284" s="913"/>
      <c r="E284" s="913"/>
      <c r="F284" s="914"/>
      <c r="G284" s="839"/>
      <c r="H284" s="778"/>
      <c r="I284" s="778"/>
      <c r="J284" s="778"/>
      <c r="K284" s="357"/>
      <c r="L284" s="761"/>
      <c r="M284" s="759"/>
      <c r="N284" s="759"/>
    </row>
    <row r="285" spans="1:18" ht="9.9" customHeight="1" x14ac:dyDescent="0.25">
      <c r="A285" s="933"/>
      <c r="B285" s="912"/>
      <c r="C285" s="913"/>
      <c r="D285" s="913"/>
      <c r="E285" s="913"/>
      <c r="F285" s="914"/>
      <c r="G285" s="839"/>
      <c r="H285" s="778"/>
      <c r="I285" s="778"/>
      <c r="J285" s="778"/>
      <c r="K285" s="357"/>
      <c r="L285" s="761"/>
      <c r="M285" s="759"/>
      <c r="N285" s="759"/>
    </row>
    <row r="286" spans="1:18" ht="9.9" customHeight="1" x14ac:dyDescent="0.25">
      <c r="A286" s="933"/>
      <c r="B286" s="912"/>
      <c r="C286" s="913"/>
      <c r="D286" s="913"/>
      <c r="E286" s="913"/>
      <c r="F286" s="914"/>
      <c r="G286" s="839"/>
      <c r="H286" s="778"/>
      <c r="I286" s="778"/>
      <c r="J286" s="778"/>
      <c r="K286" s="357"/>
      <c r="L286" s="761"/>
      <c r="M286" s="759"/>
      <c r="N286" s="759"/>
    </row>
    <row r="287" spans="1:18" ht="8.25" customHeight="1" x14ac:dyDescent="0.25">
      <c r="A287" s="934"/>
      <c r="B287" s="915"/>
      <c r="C287" s="916"/>
      <c r="D287" s="916"/>
      <c r="E287" s="916"/>
      <c r="F287" s="917"/>
      <c r="G287" s="840"/>
      <c r="H287" s="779"/>
      <c r="I287" s="779"/>
      <c r="J287" s="779"/>
      <c r="K287" s="357"/>
      <c r="L287" s="761"/>
      <c r="M287" s="760"/>
      <c r="N287" s="760"/>
    </row>
    <row r="288" spans="1:18" ht="15" customHeight="1" x14ac:dyDescent="0.25">
      <c r="A288" s="116" t="s">
        <v>468</v>
      </c>
      <c r="B288" s="908" t="s">
        <v>469</v>
      </c>
      <c r="C288" s="908"/>
      <c r="D288" s="908"/>
      <c r="E288" s="908"/>
      <c r="F288" s="908"/>
      <c r="G288" s="908"/>
      <c r="H288" s="908"/>
      <c r="I288" s="908"/>
      <c r="J288" s="414"/>
      <c r="K288" s="357"/>
      <c r="L288" s="398"/>
      <c r="M288" s="398"/>
      <c r="N288" s="384"/>
      <c r="O288" s="3"/>
      <c r="R288" s="418"/>
    </row>
    <row r="289" spans="1:68" s="385" customFormat="1" ht="3.75" customHeight="1" x14ac:dyDescent="0.25">
      <c r="A289" s="410"/>
      <c r="B289" s="410"/>
      <c r="C289" s="410"/>
      <c r="D289" s="411"/>
      <c r="E289" s="411"/>
      <c r="F289" s="411"/>
      <c r="G289" s="411"/>
      <c r="H289" s="411"/>
      <c r="I289" s="411"/>
      <c r="J289" s="414"/>
      <c r="K289" s="357"/>
      <c r="L289" s="398"/>
      <c r="M289" s="398"/>
      <c r="N289" s="384"/>
      <c r="O289" s="3"/>
      <c r="P289" s="3"/>
      <c r="Q289" s="3"/>
      <c r="R289" s="411"/>
      <c r="S289" s="411"/>
      <c r="T289" s="411"/>
      <c r="U289" s="411"/>
      <c r="V289" s="411"/>
      <c r="W289" s="411"/>
      <c r="X289" s="411"/>
      <c r="Y289" s="411"/>
      <c r="Z289" s="411"/>
      <c r="AA289" s="411"/>
      <c r="AB289" s="411"/>
      <c r="AC289" s="411"/>
      <c r="AD289" s="411"/>
      <c r="AE289" s="411"/>
      <c r="AF289" s="411"/>
      <c r="AG289" s="411"/>
      <c r="AH289" s="411"/>
      <c r="AI289" s="411"/>
      <c r="AJ289" s="411"/>
      <c r="AK289" s="411"/>
      <c r="AL289" s="411"/>
      <c r="AM289" s="411"/>
      <c r="AN289" s="411"/>
      <c r="AO289" s="411"/>
      <c r="AP289" s="411"/>
      <c r="AQ289" s="411"/>
      <c r="AR289" s="411"/>
      <c r="AS289" s="411"/>
      <c r="AT289" s="411"/>
      <c r="AU289" s="411"/>
      <c r="AV289" s="411"/>
      <c r="AW289" s="411"/>
      <c r="AX289" s="411"/>
      <c r="AY289" s="411"/>
      <c r="AZ289" s="411"/>
      <c r="BA289" s="411"/>
      <c r="BB289" s="411"/>
      <c r="BC289" s="411"/>
      <c r="BD289" s="411"/>
      <c r="BE289" s="411"/>
      <c r="BF289" s="386"/>
      <c r="BG289" s="412"/>
      <c r="BH289" s="361"/>
      <c r="BI289" s="361"/>
      <c r="BJ289" s="413"/>
      <c r="BK289" s="361"/>
      <c r="BL289" s="361"/>
      <c r="BM289" s="361"/>
      <c r="BN289" s="361"/>
      <c r="BO289" s="361"/>
      <c r="BP289" s="361"/>
    </row>
    <row r="290" spans="1:68" s="12" customFormat="1" ht="14.25" customHeight="1" x14ac:dyDescent="0.25">
      <c r="A290" s="921" t="s">
        <v>168</v>
      </c>
      <c r="B290" s="828" t="s">
        <v>127</v>
      </c>
      <c r="C290" s="830"/>
      <c r="D290" s="941" t="s">
        <v>257</v>
      </c>
      <c r="E290" s="742" t="s">
        <v>128</v>
      </c>
      <c r="F290" s="743"/>
      <c r="G290" s="743"/>
      <c r="H290" s="743"/>
      <c r="I290" s="743"/>
      <c r="J290" s="744"/>
      <c r="K290" s="357"/>
      <c r="L290" s="398"/>
      <c r="M290" s="398"/>
      <c r="N290" s="384"/>
      <c r="O290" s="3"/>
    </row>
    <row r="291" spans="1:68" s="12" customFormat="1" ht="13.2" x14ac:dyDescent="0.25">
      <c r="A291" s="922"/>
      <c r="B291" s="831"/>
      <c r="C291" s="833"/>
      <c r="D291" s="942"/>
      <c r="E291" s="745" t="s">
        <v>129</v>
      </c>
      <c r="F291" s="746"/>
      <c r="G291" s="746"/>
      <c r="H291" s="746"/>
      <c r="I291" s="746"/>
      <c r="J291" s="747"/>
      <c r="K291" s="357"/>
      <c r="L291" s="398"/>
      <c r="M291" s="398"/>
      <c r="N291" s="384"/>
      <c r="O291" s="3"/>
      <c r="P291" s="45"/>
      <c r="Q291" s="45"/>
    </row>
    <row r="292" spans="1:68" s="12" customFormat="1" ht="12.75" customHeight="1" x14ac:dyDescent="0.25">
      <c r="A292" s="923"/>
      <c r="B292" s="834"/>
      <c r="C292" s="836"/>
      <c r="D292" s="943"/>
      <c r="E292" s="2">
        <v>0</v>
      </c>
      <c r="F292" s="58" t="s">
        <v>54</v>
      </c>
      <c r="G292" s="2" t="s">
        <v>55</v>
      </c>
      <c r="H292" s="2" t="s">
        <v>130</v>
      </c>
      <c r="I292" s="2" t="s">
        <v>245</v>
      </c>
      <c r="J292" s="2" t="s">
        <v>246</v>
      </c>
      <c r="K292" s="357"/>
      <c r="L292" s="36"/>
      <c r="M292" s="39"/>
      <c r="N292" s="40"/>
      <c r="O292" s="6"/>
    </row>
    <row r="293" spans="1:68" ht="12.75" customHeight="1" x14ac:dyDescent="0.25">
      <c r="A293" s="938" t="s">
        <v>472</v>
      </c>
      <c r="B293" s="896" t="s">
        <v>499</v>
      </c>
      <c r="C293" s="897"/>
      <c r="D293" s="875" t="s">
        <v>249</v>
      </c>
      <c r="E293" s="888" t="s">
        <v>132</v>
      </c>
      <c r="F293" s="13" t="s">
        <v>244</v>
      </c>
      <c r="G293" s="16" t="s">
        <v>306</v>
      </c>
      <c r="H293" s="13" t="s">
        <v>344</v>
      </c>
      <c r="I293" s="17" t="s">
        <v>345</v>
      </c>
      <c r="J293" s="17" t="s">
        <v>346</v>
      </c>
      <c r="K293" s="354"/>
      <c r="M293" s="39"/>
      <c r="N293" s="40"/>
    </row>
    <row r="294" spans="1:68" ht="17.25" customHeight="1" x14ac:dyDescent="0.25">
      <c r="A294" s="939"/>
      <c r="B294" s="898"/>
      <c r="C294" s="899"/>
      <c r="D294" s="876"/>
      <c r="E294" s="902"/>
      <c r="F294" s="14" t="s">
        <v>432</v>
      </c>
      <c r="G294" s="14" t="s">
        <v>133</v>
      </c>
      <c r="H294" s="14" t="s">
        <v>133</v>
      </c>
      <c r="I294" s="15" t="s">
        <v>133</v>
      </c>
      <c r="J294" s="784" t="s">
        <v>389</v>
      </c>
      <c r="K294" s="354"/>
      <c r="M294" s="39"/>
      <c r="N294" s="40"/>
    </row>
    <row r="295" spans="1:68" ht="24" x14ac:dyDescent="0.25">
      <c r="A295" s="939"/>
      <c r="B295" s="898"/>
      <c r="C295" s="899"/>
      <c r="D295" s="876"/>
      <c r="E295" s="902"/>
      <c r="F295" s="64" t="s">
        <v>254</v>
      </c>
      <c r="G295" s="66" t="s">
        <v>256</v>
      </c>
      <c r="H295" s="64" t="s">
        <v>347</v>
      </c>
      <c r="I295" s="64" t="s">
        <v>348</v>
      </c>
      <c r="J295" s="784"/>
      <c r="K295" s="354"/>
      <c r="M295" s="39"/>
      <c r="N295" s="40"/>
    </row>
    <row r="296" spans="1:68" ht="24" x14ac:dyDescent="0.25">
      <c r="A296" s="939"/>
      <c r="B296" s="898"/>
      <c r="C296" s="899"/>
      <c r="D296" s="876"/>
      <c r="E296" s="902"/>
      <c r="F296" s="64" t="s">
        <v>255</v>
      </c>
      <c r="G296" s="66" t="s">
        <v>350</v>
      </c>
      <c r="H296" s="64" t="s">
        <v>351</v>
      </c>
      <c r="I296" s="64" t="s">
        <v>352</v>
      </c>
      <c r="J296" s="67" t="s">
        <v>349</v>
      </c>
      <c r="K296" s="354"/>
      <c r="M296" s="39"/>
      <c r="N296" s="40"/>
    </row>
    <row r="297" spans="1:68" ht="24" x14ac:dyDescent="0.25">
      <c r="A297" s="939"/>
      <c r="B297" s="885" t="s">
        <v>487</v>
      </c>
      <c r="C297" s="887"/>
      <c r="D297" s="876"/>
      <c r="E297" s="902"/>
      <c r="F297" s="64" t="s">
        <v>58</v>
      </c>
      <c r="G297" s="66" t="s">
        <v>57</v>
      </c>
      <c r="H297" s="64" t="s">
        <v>179</v>
      </c>
      <c r="I297" s="64" t="s">
        <v>247</v>
      </c>
      <c r="J297" s="67" t="s">
        <v>248</v>
      </c>
      <c r="K297" s="354"/>
      <c r="M297" s="41"/>
      <c r="N297" s="42"/>
    </row>
    <row r="298" spans="1:68" ht="10.5" customHeight="1" x14ac:dyDescent="0.25">
      <c r="A298" s="939"/>
      <c r="B298" s="885"/>
      <c r="C298" s="887"/>
      <c r="D298" s="876"/>
      <c r="E298" s="228"/>
      <c r="F298" s="68"/>
      <c r="G298" s="106"/>
      <c r="H298" s="68"/>
      <c r="I298" s="231"/>
      <c r="J298" s="67"/>
      <c r="K298" s="354"/>
      <c r="M298" s="37"/>
      <c r="N298" s="38"/>
    </row>
    <row r="299" spans="1:68" ht="12.75" customHeight="1" x14ac:dyDescent="0.25">
      <c r="A299" s="939"/>
      <c r="B299" s="885"/>
      <c r="C299" s="887"/>
      <c r="D299" s="876"/>
      <c r="E299" s="838" t="str">
        <f>IF(AND(F299="",G299="",H299="",I299="",J299=""),IF(fio="","",0),"")</f>
        <v/>
      </c>
      <c r="F299" s="865"/>
      <c r="G299" s="865"/>
      <c r="H299" s="865"/>
      <c r="I299" s="865"/>
      <c r="J299" s="865"/>
      <c r="K299" s="354"/>
      <c r="L299" s="36">
        <f>SUM(E299:J300)</f>
        <v>0</v>
      </c>
      <c r="M299" s="37">
        <v>340</v>
      </c>
      <c r="N299" s="38"/>
    </row>
    <row r="300" spans="1:68" ht="12.75" customHeight="1" x14ac:dyDescent="0.25">
      <c r="A300" s="940"/>
      <c r="B300" s="918"/>
      <c r="C300" s="920"/>
      <c r="D300" s="877"/>
      <c r="E300" s="840"/>
      <c r="F300" s="866"/>
      <c r="G300" s="866"/>
      <c r="H300" s="866"/>
      <c r="I300" s="866"/>
      <c r="J300" s="866"/>
      <c r="K300" s="354"/>
      <c r="M300" s="37"/>
      <c r="N300" s="38"/>
    </row>
    <row r="301" spans="1:68" ht="12.75" customHeight="1" x14ac:dyDescent="0.25">
      <c r="A301" s="938" t="s">
        <v>473</v>
      </c>
      <c r="B301" s="896" t="s">
        <v>484</v>
      </c>
      <c r="C301" s="977"/>
      <c r="D301" s="875" t="s">
        <v>249</v>
      </c>
      <c r="E301" s="888" t="s">
        <v>132</v>
      </c>
      <c r="F301" s="13" t="s">
        <v>244</v>
      </c>
      <c r="G301" s="16" t="s">
        <v>306</v>
      </c>
      <c r="H301" s="13" t="s">
        <v>344</v>
      </c>
      <c r="I301" s="17" t="s">
        <v>345</v>
      </c>
      <c r="J301" s="17" t="s">
        <v>346</v>
      </c>
      <c r="K301" s="354"/>
      <c r="M301" s="37"/>
      <c r="N301" s="38"/>
    </row>
    <row r="302" spans="1:68" ht="12.75" customHeight="1" x14ac:dyDescent="0.25">
      <c r="A302" s="939"/>
      <c r="B302" s="978"/>
      <c r="C302" s="979"/>
      <c r="D302" s="876"/>
      <c r="E302" s="902"/>
      <c r="F302" s="14" t="s">
        <v>432</v>
      </c>
      <c r="G302" s="14" t="s">
        <v>133</v>
      </c>
      <c r="H302" s="14" t="s">
        <v>133</v>
      </c>
      <c r="I302" s="15" t="s">
        <v>133</v>
      </c>
      <c r="J302" s="784" t="s">
        <v>389</v>
      </c>
      <c r="K302" s="354"/>
      <c r="M302" s="37"/>
      <c r="N302" s="38"/>
    </row>
    <row r="303" spans="1:68" ht="5.25" customHeight="1" x14ac:dyDescent="0.25">
      <c r="A303" s="939"/>
      <c r="B303" s="978"/>
      <c r="C303" s="979"/>
      <c r="D303" s="876"/>
      <c r="E303" s="902"/>
      <c r="F303" s="59"/>
      <c r="G303" s="69"/>
      <c r="H303" s="70"/>
      <c r="I303" s="230"/>
      <c r="J303" s="784"/>
      <c r="K303" s="354"/>
      <c r="M303" s="37"/>
      <c r="N303" s="38"/>
    </row>
    <row r="304" spans="1:68" ht="24" customHeight="1" x14ac:dyDescent="0.25">
      <c r="A304" s="939"/>
      <c r="B304" s="978"/>
      <c r="C304" s="979"/>
      <c r="D304" s="876"/>
      <c r="E304" s="902"/>
      <c r="F304" s="64" t="s">
        <v>250</v>
      </c>
      <c r="G304" s="66" t="s">
        <v>251</v>
      </c>
      <c r="H304" s="64" t="s">
        <v>353</v>
      </c>
      <c r="I304" s="64" t="s">
        <v>354</v>
      </c>
      <c r="J304" s="784"/>
      <c r="K304" s="354"/>
      <c r="M304" s="37"/>
      <c r="N304" s="38"/>
    </row>
    <row r="305" spans="1:14" ht="27" customHeight="1" x14ac:dyDescent="0.25">
      <c r="A305" s="939"/>
      <c r="B305" s="978"/>
      <c r="C305" s="979"/>
      <c r="D305" s="876"/>
      <c r="E305" s="902"/>
      <c r="F305" s="64" t="s">
        <v>252</v>
      </c>
      <c r="G305" s="66" t="s">
        <v>253</v>
      </c>
      <c r="H305" s="64" t="s">
        <v>356</v>
      </c>
      <c r="I305" s="64" t="s">
        <v>357</v>
      </c>
      <c r="J305" s="67" t="s">
        <v>355</v>
      </c>
      <c r="K305" s="354"/>
      <c r="M305" s="37"/>
      <c r="N305" s="38"/>
    </row>
    <row r="306" spans="1:14" ht="30.75" customHeight="1" x14ac:dyDescent="0.25">
      <c r="A306" s="939"/>
      <c r="B306" s="978"/>
      <c r="C306" s="979"/>
      <c r="D306" s="876"/>
      <c r="E306" s="902"/>
      <c r="F306" s="64" t="s">
        <v>58</v>
      </c>
      <c r="G306" s="66" t="s">
        <v>57</v>
      </c>
      <c r="H306" s="64" t="s">
        <v>179</v>
      </c>
      <c r="I306" s="64" t="s">
        <v>247</v>
      </c>
      <c r="J306" s="67" t="s">
        <v>248</v>
      </c>
      <c r="K306" s="354"/>
      <c r="M306" s="37"/>
      <c r="N306" s="38"/>
    </row>
    <row r="307" spans="1:14" ht="12.75" customHeight="1" x14ac:dyDescent="0.25">
      <c r="A307" s="939"/>
      <c r="B307" s="978"/>
      <c r="C307" s="979"/>
      <c r="D307" s="876"/>
      <c r="E307" s="838" t="str">
        <f>IF(AND(F307="",G307="",H307="",I307="",J307=""),IF(fio="","",0),"")</f>
        <v/>
      </c>
      <c r="F307" s="865"/>
      <c r="G307" s="865"/>
      <c r="H307" s="865"/>
      <c r="I307" s="865"/>
      <c r="J307" s="865"/>
      <c r="K307" s="354"/>
      <c r="L307" s="36">
        <f>SUM(E307:J308)</f>
        <v>0</v>
      </c>
      <c r="M307" s="37">
        <v>340</v>
      </c>
      <c r="N307" s="38"/>
    </row>
    <row r="308" spans="1:14" ht="12.75" customHeight="1" x14ac:dyDescent="0.25">
      <c r="A308" s="940"/>
      <c r="B308" s="980"/>
      <c r="C308" s="981"/>
      <c r="D308" s="877"/>
      <c r="E308" s="840"/>
      <c r="F308" s="866"/>
      <c r="G308" s="866"/>
      <c r="H308" s="866"/>
      <c r="I308" s="866"/>
      <c r="J308" s="866"/>
      <c r="K308" s="354"/>
      <c r="M308" s="37"/>
      <c r="N308" s="38"/>
    </row>
    <row r="309" spans="1:14" ht="12.75" customHeight="1" x14ac:dyDescent="0.25">
      <c r="A309" s="938" t="s">
        <v>474</v>
      </c>
      <c r="B309" s="896" t="s">
        <v>486</v>
      </c>
      <c r="C309" s="958"/>
      <c r="D309" s="897"/>
      <c r="E309" s="783" t="s">
        <v>144</v>
      </c>
      <c r="F309" s="13" t="s">
        <v>244</v>
      </c>
      <c r="G309" s="16" t="s">
        <v>306</v>
      </c>
      <c r="H309" s="13" t="s">
        <v>344</v>
      </c>
      <c r="I309" s="17" t="s">
        <v>345</v>
      </c>
      <c r="J309" s="17" t="s">
        <v>346</v>
      </c>
      <c r="K309" s="354"/>
      <c r="M309" s="37"/>
      <c r="N309" s="38"/>
    </row>
    <row r="310" spans="1:14" ht="12.75" customHeight="1" x14ac:dyDescent="0.25">
      <c r="A310" s="939"/>
      <c r="B310" s="898"/>
      <c r="C310" s="1085"/>
      <c r="D310" s="899"/>
      <c r="E310" s="784"/>
      <c r="F310" s="14" t="s">
        <v>432</v>
      </c>
      <c r="G310" s="14" t="s">
        <v>133</v>
      </c>
      <c r="H310" s="14" t="s">
        <v>133</v>
      </c>
      <c r="I310" s="15" t="s">
        <v>133</v>
      </c>
      <c r="J310" s="784" t="s">
        <v>389</v>
      </c>
      <c r="K310" s="354"/>
      <c r="M310" s="37"/>
      <c r="N310" s="38"/>
    </row>
    <row r="311" spans="1:14" ht="15.75" customHeight="1" x14ac:dyDescent="0.25">
      <c r="A311" s="939"/>
      <c r="B311" s="898"/>
      <c r="C311" s="1085"/>
      <c r="D311" s="899"/>
      <c r="E311" s="784"/>
      <c r="F311" s="14"/>
      <c r="G311" s="103"/>
      <c r="H311" s="14"/>
      <c r="I311" s="229"/>
      <c r="J311" s="784"/>
      <c r="K311" s="354"/>
      <c r="M311" s="37"/>
      <c r="N311" s="38"/>
    </row>
    <row r="312" spans="1:14" ht="24" x14ac:dyDescent="0.25">
      <c r="A312" s="939"/>
      <c r="B312" s="898"/>
      <c r="C312" s="1085"/>
      <c r="D312" s="899"/>
      <c r="E312" s="784"/>
      <c r="F312" s="71" t="s">
        <v>59</v>
      </c>
      <c r="G312" s="64" t="s">
        <v>60</v>
      </c>
      <c r="H312" s="66" t="s">
        <v>358</v>
      </c>
      <c r="I312" s="64" t="s">
        <v>359</v>
      </c>
      <c r="J312" s="784"/>
      <c r="K312" s="354"/>
      <c r="M312" s="37"/>
      <c r="N312" s="38"/>
    </row>
    <row r="313" spans="1:14" ht="26.25" customHeight="1" x14ac:dyDescent="0.25">
      <c r="A313" s="939"/>
      <c r="B313" s="885" t="s">
        <v>0</v>
      </c>
      <c r="C313" s="886"/>
      <c r="D313" s="887"/>
      <c r="E313" s="784"/>
      <c r="F313" s="71" t="s">
        <v>361</v>
      </c>
      <c r="G313" s="64" t="s">
        <v>362</v>
      </c>
      <c r="H313" s="66" t="s">
        <v>363</v>
      </c>
      <c r="I313" s="64" t="s">
        <v>364</v>
      </c>
      <c r="J313" s="64" t="s">
        <v>360</v>
      </c>
      <c r="K313" s="354"/>
      <c r="M313" s="37"/>
      <c r="N313" s="38"/>
    </row>
    <row r="314" spans="1:14" ht="24" customHeight="1" x14ac:dyDescent="0.25">
      <c r="A314" s="939"/>
      <c r="B314" s="885" t="s">
        <v>1</v>
      </c>
      <c r="C314" s="886"/>
      <c r="D314" s="887"/>
      <c r="E314" s="784"/>
      <c r="F314" s="71" t="s">
        <v>58</v>
      </c>
      <c r="G314" s="64" t="s">
        <v>57</v>
      </c>
      <c r="H314" s="66" t="s">
        <v>176</v>
      </c>
      <c r="I314" s="64" t="s">
        <v>366</v>
      </c>
      <c r="J314" s="64" t="s">
        <v>365</v>
      </c>
      <c r="K314" s="354"/>
      <c r="M314" s="37"/>
      <c r="N314" s="38"/>
    </row>
    <row r="315" spans="1:14" ht="28.5" customHeight="1" x14ac:dyDescent="0.25">
      <c r="A315" s="939"/>
      <c r="B315" s="885"/>
      <c r="C315" s="886"/>
      <c r="D315" s="887"/>
      <c r="E315" s="785"/>
      <c r="F315" s="73"/>
      <c r="G315" s="72"/>
      <c r="H315" s="74"/>
      <c r="I315" s="72"/>
      <c r="J315" s="102"/>
      <c r="K315" s="354"/>
      <c r="M315" s="37"/>
      <c r="N315" s="38"/>
    </row>
    <row r="316" spans="1:14" ht="12.75" customHeight="1" x14ac:dyDescent="0.25">
      <c r="A316" s="939"/>
      <c r="B316" s="885"/>
      <c r="C316" s="886"/>
      <c r="D316" s="887"/>
      <c r="E316" s="838" t="str">
        <f>IF(AND(F316="",G316="",H316="",I316="",J316=""),IF(fio="","",0),"")</f>
        <v/>
      </c>
      <c r="F316" s="865"/>
      <c r="G316" s="865"/>
      <c r="H316" s="865"/>
      <c r="I316" s="865"/>
      <c r="J316" s="865"/>
      <c r="K316" s="354"/>
      <c r="L316" s="36">
        <f>SUM(E316:J317)</f>
        <v>0</v>
      </c>
      <c r="M316" s="37">
        <v>340</v>
      </c>
      <c r="N316" s="38"/>
    </row>
    <row r="317" spans="1:14" ht="12.75" customHeight="1" x14ac:dyDescent="0.25">
      <c r="A317" s="940"/>
      <c r="B317" s="918"/>
      <c r="C317" s="919"/>
      <c r="D317" s="920"/>
      <c r="E317" s="840"/>
      <c r="F317" s="866"/>
      <c r="G317" s="866"/>
      <c r="H317" s="866"/>
      <c r="I317" s="866"/>
      <c r="J317" s="866"/>
      <c r="K317" s="354"/>
      <c r="M317" s="37"/>
      <c r="N317" s="38"/>
    </row>
    <row r="318" spans="1:14" ht="12.75" customHeight="1" x14ac:dyDescent="0.25">
      <c r="A318" s="921" t="s">
        <v>168</v>
      </c>
      <c r="B318" s="828" t="s">
        <v>127</v>
      </c>
      <c r="C318" s="830"/>
      <c r="D318" s="941" t="s">
        <v>257</v>
      </c>
      <c r="E318" s="742" t="s">
        <v>128</v>
      </c>
      <c r="F318" s="743"/>
      <c r="G318" s="743"/>
      <c r="H318" s="743"/>
      <c r="I318" s="743"/>
      <c r="J318" s="744"/>
      <c r="K318" s="354"/>
      <c r="M318" s="37"/>
      <c r="N318" s="38"/>
    </row>
    <row r="319" spans="1:14" ht="13.2" x14ac:dyDescent="0.25">
      <c r="A319" s="922"/>
      <c r="B319" s="831"/>
      <c r="C319" s="833"/>
      <c r="D319" s="942"/>
      <c r="E319" s="745" t="s">
        <v>129</v>
      </c>
      <c r="F319" s="746"/>
      <c r="G319" s="746"/>
      <c r="H319" s="746"/>
      <c r="I319" s="746"/>
      <c r="J319" s="747"/>
      <c r="K319" s="354"/>
      <c r="M319" s="37"/>
      <c r="N319" s="38"/>
    </row>
    <row r="320" spans="1:14" ht="12.75" customHeight="1" x14ac:dyDescent="0.25">
      <c r="A320" s="923"/>
      <c r="B320" s="834"/>
      <c r="C320" s="836"/>
      <c r="D320" s="943"/>
      <c r="E320" s="2">
        <v>0</v>
      </c>
      <c r="F320" s="58" t="s">
        <v>54</v>
      </c>
      <c r="G320" s="2" t="s">
        <v>55</v>
      </c>
      <c r="H320" s="2" t="s">
        <v>130</v>
      </c>
      <c r="I320" s="2" t="s">
        <v>245</v>
      </c>
      <c r="J320" s="2" t="s">
        <v>246</v>
      </c>
      <c r="K320" s="354"/>
      <c r="M320" s="37"/>
      <c r="N320" s="38"/>
    </row>
    <row r="321" spans="1:17" ht="12.75" customHeight="1" x14ac:dyDescent="0.25">
      <c r="A321" s="938" t="s">
        <v>475</v>
      </c>
      <c r="B321" s="896" t="s">
        <v>503</v>
      </c>
      <c r="C321" s="977"/>
      <c r="D321" s="875" t="s">
        <v>379</v>
      </c>
      <c r="E321" s="783" t="s">
        <v>132</v>
      </c>
      <c r="F321" s="13" t="s">
        <v>244</v>
      </c>
      <c r="G321" s="16" t="s">
        <v>306</v>
      </c>
      <c r="H321" s="13" t="s">
        <v>344</v>
      </c>
      <c r="I321" s="17" t="s">
        <v>345</v>
      </c>
      <c r="J321" s="17" t="s">
        <v>346</v>
      </c>
      <c r="K321" s="354"/>
      <c r="M321" s="37"/>
      <c r="N321" s="38"/>
    </row>
    <row r="322" spans="1:17" ht="12.75" customHeight="1" x14ac:dyDescent="0.25">
      <c r="A322" s="939"/>
      <c r="B322" s="978"/>
      <c r="C322" s="979"/>
      <c r="D322" s="876"/>
      <c r="E322" s="784"/>
      <c r="F322" s="14" t="s">
        <v>432</v>
      </c>
      <c r="G322" s="14" t="s">
        <v>133</v>
      </c>
      <c r="H322" s="14" t="s">
        <v>133</v>
      </c>
      <c r="I322" s="15" t="s">
        <v>133</v>
      </c>
      <c r="J322" s="15" t="s">
        <v>390</v>
      </c>
      <c r="K322" s="354"/>
      <c r="M322" s="37"/>
      <c r="N322" s="38"/>
    </row>
    <row r="323" spans="1:17" ht="21" customHeight="1" x14ac:dyDescent="0.25">
      <c r="A323" s="939"/>
      <c r="B323" s="978"/>
      <c r="C323" s="979"/>
      <c r="D323" s="876"/>
      <c r="E323" s="784"/>
      <c r="F323" s="14"/>
      <c r="G323" s="103"/>
      <c r="H323" s="14"/>
      <c r="I323" s="229"/>
      <c r="J323" s="15" t="s">
        <v>61</v>
      </c>
      <c r="K323" s="354"/>
      <c r="M323" s="37"/>
      <c r="N323" s="38"/>
    </row>
    <row r="324" spans="1:17" ht="24" x14ac:dyDescent="0.25">
      <c r="A324" s="939"/>
      <c r="B324" s="978"/>
      <c r="C324" s="979"/>
      <c r="D324" s="876"/>
      <c r="E324" s="784"/>
      <c r="F324" s="71" t="s">
        <v>258</v>
      </c>
      <c r="G324" s="64" t="s">
        <v>259</v>
      </c>
      <c r="H324" s="66" t="s">
        <v>367</v>
      </c>
      <c r="I324" s="64" t="s">
        <v>368</v>
      </c>
      <c r="J324" s="64" t="s">
        <v>369</v>
      </c>
      <c r="K324" s="354"/>
      <c r="M324" s="37"/>
      <c r="N324" s="38"/>
    </row>
    <row r="325" spans="1:17" ht="24" x14ac:dyDescent="0.25">
      <c r="A325" s="939"/>
      <c r="B325" s="978"/>
      <c r="C325" s="979"/>
      <c r="D325" s="876"/>
      <c r="E325" s="784"/>
      <c r="F325" s="71" t="s">
        <v>260</v>
      </c>
      <c r="G325" s="64" t="s">
        <v>370</v>
      </c>
      <c r="H325" s="66" t="s">
        <v>371</v>
      </c>
      <c r="I325" s="64" t="s">
        <v>372</v>
      </c>
      <c r="J325" s="64" t="s">
        <v>365</v>
      </c>
      <c r="K325" s="354"/>
      <c r="M325" s="37"/>
      <c r="N325" s="38"/>
    </row>
    <row r="326" spans="1:17" ht="24" x14ac:dyDescent="0.25">
      <c r="A326" s="939"/>
      <c r="B326" s="978"/>
      <c r="C326" s="979"/>
      <c r="D326" s="876"/>
      <c r="E326" s="784"/>
      <c r="F326" s="71" t="s">
        <v>58</v>
      </c>
      <c r="G326" s="64" t="s">
        <v>57</v>
      </c>
      <c r="H326" s="66" t="s">
        <v>176</v>
      </c>
      <c r="I326" s="64" t="s">
        <v>366</v>
      </c>
      <c r="J326" s="64"/>
      <c r="K326" s="354"/>
      <c r="M326" s="37"/>
      <c r="N326" s="38"/>
    </row>
    <row r="327" spans="1:17" ht="36.75" customHeight="1" x14ac:dyDescent="0.25">
      <c r="A327" s="939"/>
      <c r="B327" s="978"/>
      <c r="C327" s="979"/>
      <c r="D327" s="876"/>
      <c r="E327" s="785"/>
      <c r="F327" s="107"/>
      <c r="G327" s="107"/>
      <c r="H327" s="107"/>
      <c r="I327" s="232"/>
      <c r="J327" s="64"/>
      <c r="K327" s="354"/>
      <c r="M327" s="37"/>
      <c r="N327" s="38"/>
    </row>
    <row r="328" spans="1:17" ht="12.75" customHeight="1" x14ac:dyDescent="0.25">
      <c r="A328" s="939"/>
      <c r="B328" s="978"/>
      <c r="C328" s="979"/>
      <c r="D328" s="876"/>
      <c r="E328" s="838" t="str">
        <f>IF(AND(F328="",G328="",H328="",I328="",J328=""),IF(fio="","",0),"")</f>
        <v/>
      </c>
      <c r="F328" s="865"/>
      <c r="G328" s="865"/>
      <c r="H328" s="865"/>
      <c r="I328" s="865"/>
      <c r="J328" s="865"/>
      <c r="K328" s="358"/>
      <c r="L328" s="328">
        <f>SUM(E328:J329)</f>
        <v>0</v>
      </c>
      <c r="M328" s="329">
        <v>340</v>
      </c>
      <c r="N328" s="330"/>
    </row>
    <row r="329" spans="1:17" ht="12.75" customHeight="1" x14ac:dyDescent="0.25">
      <c r="A329" s="940"/>
      <c r="B329" s="980"/>
      <c r="C329" s="981"/>
      <c r="D329" s="877"/>
      <c r="E329" s="840"/>
      <c r="F329" s="866"/>
      <c r="G329" s="866"/>
      <c r="H329" s="866"/>
      <c r="I329" s="866"/>
      <c r="J329" s="866"/>
      <c r="K329" s="358"/>
      <c r="L329" s="328"/>
      <c r="M329" s="329"/>
      <c r="N329" s="330"/>
    </row>
    <row r="330" spans="1:17" ht="51.75" customHeight="1" x14ac:dyDescent="0.25">
      <c r="A330" s="16"/>
      <c r="B330" s="124"/>
      <c r="C330" s="124"/>
      <c r="D330" s="54"/>
      <c r="E330" s="62"/>
      <c r="F330" s="108"/>
      <c r="G330" s="91"/>
      <c r="H330" s="108"/>
      <c r="I330" s="108"/>
      <c r="J330" s="108"/>
      <c r="K330" s="354"/>
      <c r="M330" s="44"/>
      <c r="N330" s="44"/>
    </row>
    <row r="331" spans="1:17" ht="12.75" customHeight="1" x14ac:dyDescent="0.25">
      <c r="A331" s="16"/>
      <c r="B331" s="787" t="s">
        <v>143</v>
      </c>
      <c r="C331" s="787"/>
      <c r="D331" s="54"/>
      <c r="E331" s="54"/>
      <c r="F331" s="54"/>
      <c r="G331" s="54"/>
      <c r="H331" s="54"/>
      <c r="I331" s="54"/>
      <c r="J331" s="54"/>
      <c r="K331" s="354"/>
      <c r="M331" s="44"/>
      <c r="N331" s="44"/>
    </row>
    <row r="332" spans="1:17" s="12" customFormat="1" ht="14.25" customHeight="1" x14ac:dyDescent="0.25">
      <c r="A332" s="921" t="s">
        <v>168</v>
      </c>
      <c r="B332" s="828" t="s">
        <v>127</v>
      </c>
      <c r="C332" s="830"/>
      <c r="D332" s="941" t="s">
        <v>257</v>
      </c>
      <c r="E332" s="742" t="s">
        <v>128</v>
      </c>
      <c r="F332" s="743"/>
      <c r="G332" s="743"/>
      <c r="H332" s="743"/>
      <c r="I332" s="743"/>
      <c r="J332" s="744"/>
      <c r="K332" s="357"/>
      <c r="L332" s="36"/>
      <c r="M332" s="44"/>
      <c r="N332" s="44"/>
      <c r="O332" s="6"/>
    </row>
    <row r="333" spans="1:17" s="12" customFormat="1" ht="13.2" x14ac:dyDescent="0.25">
      <c r="A333" s="922"/>
      <c r="B333" s="831"/>
      <c r="C333" s="833"/>
      <c r="D333" s="942"/>
      <c r="E333" s="745" t="s">
        <v>129</v>
      </c>
      <c r="F333" s="746"/>
      <c r="G333" s="746"/>
      <c r="H333" s="746"/>
      <c r="I333" s="746"/>
      <c r="J333" s="747"/>
      <c r="K333" s="357"/>
      <c r="L333" s="36"/>
      <c r="M333" s="44"/>
      <c r="N333" s="44"/>
      <c r="O333" s="6"/>
      <c r="P333" s="45"/>
      <c r="Q333" s="45"/>
    </row>
    <row r="334" spans="1:17" s="12" customFormat="1" ht="12.75" customHeight="1" x14ac:dyDescent="0.25">
      <c r="A334" s="923"/>
      <c r="B334" s="834"/>
      <c r="C334" s="836"/>
      <c r="D334" s="943"/>
      <c r="E334" s="2">
        <v>0</v>
      </c>
      <c r="F334" s="58" t="s">
        <v>54</v>
      </c>
      <c r="G334" s="2" t="s">
        <v>55</v>
      </c>
      <c r="H334" s="2" t="s">
        <v>130</v>
      </c>
      <c r="I334" s="2" t="s">
        <v>245</v>
      </c>
      <c r="J334" s="2" t="s">
        <v>246</v>
      </c>
      <c r="K334" s="357"/>
      <c r="L334" s="36"/>
      <c r="M334" s="44"/>
      <c r="N334" s="44"/>
      <c r="O334" s="6"/>
    </row>
    <row r="335" spans="1:17" ht="12.75" customHeight="1" x14ac:dyDescent="0.25">
      <c r="A335" s="938" t="s">
        <v>476</v>
      </c>
      <c r="B335" s="890" t="s">
        <v>2</v>
      </c>
      <c r="C335" s="891"/>
      <c r="D335" s="875" t="s">
        <v>516</v>
      </c>
      <c r="E335" s="783" t="s">
        <v>132</v>
      </c>
      <c r="F335" s="13" t="s">
        <v>244</v>
      </c>
      <c r="G335" s="16" t="s">
        <v>306</v>
      </c>
      <c r="H335" s="13" t="s">
        <v>344</v>
      </c>
      <c r="I335" s="331" t="s">
        <v>345</v>
      </c>
      <c r="J335" s="13" t="s">
        <v>346</v>
      </c>
      <c r="K335" s="354"/>
      <c r="M335" s="44"/>
      <c r="N335" s="44"/>
      <c r="O335" s="6"/>
    </row>
    <row r="336" spans="1:17" ht="26.25" customHeight="1" x14ac:dyDescent="0.25">
      <c r="A336" s="939"/>
      <c r="B336" s="892"/>
      <c r="C336" s="893"/>
      <c r="D336" s="876"/>
      <c r="E336" s="784"/>
      <c r="F336" s="14" t="s">
        <v>432</v>
      </c>
      <c r="G336" s="16" t="s">
        <v>133</v>
      </c>
      <c r="H336" s="14" t="s">
        <v>133</v>
      </c>
      <c r="I336" s="16" t="s">
        <v>133</v>
      </c>
      <c r="J336" s="14" t="s">
        <v>389</v>
      </c>
      <c r="K336" s="354"/>
      <c r="M336" s="37"/>
      <c r="N336" s="38"/>
    </row>
    <row r="337" spans="1:15" ht="24" x14ac:dyDescent="0.25">
      <c r="A337" s="939"/>
      <c r="B337" s="892"/>
      <c r="C337" s="893"/>
      <c r="D337" s="876"/>
      <c r="E337" s="784"/>
      <c r="F337" s="64" t="s">
        <v>254</v>
      </c>
      <c r="G337" s="66" t="s">
        <v>256</v>
      </c>
      <c r="H337" s="64" t="s">
        <v>347</v>
      </c>
      <c r="I337" s="66" t="s">
        <v>348</v>
      </c>
      <c r="J337" s="64" t="s">
        <v>349</v>
      </c>
      <c r="K337" s="354"/>
      <c r="M337" s="37"/>
      <c r="N337" s="38"/>
    </row>
    <row r="338" spans="1:15" ht="24.75" customHeight="1" x14ac:dyDescent="0.25">
      <c r="A338" s="939"/>
      <c r="B338" s="892"/>
      <c r="C338" s="893"/>
      <c r="D338" s="876"/>
      <c r="E338" s="784"/>
      <c r="F338" s="64" t="s">
        <v>255</v>
      </c>
      <c r="G338" s="66" t="s">
        <v>350</v>
      </c>
      <c r="H338" s="64" t="s">
        <v>351</v>
      </c>
      <c r="I338" s="66" t="s">
        <v>352</v>
      </c>
      <c r="J338" s="64" t="s">
        <v>248</v>
      </c>
      <c r="K338" s="354"/>
      <c r="M338" s="37"/>
      <c r="N338" s="38"/>
    </row>
    <row r="339" spans="1:15" ht="22.5" customHeight="1" x14ac:dyDescent="0.25">
      <c r="A339" s="939"/>
      <c r="B339" s="892"/>
      <c r="C339" s="893"/>
      <c r="D339" s="876"/>
      <c r="E339" s="784"/>
      <c r="F339" s="64" t="s">
        <v>58</v>
      </c>
      <c r="G339" s="66" t="s">
        <v>57</v>
      </c>
      <c r="H339" s="64" t="s">
        <v>179</v>
      </c>
      <c r="I339" s="66" t="s">
        <v>247</v>
      </c>
      <c r="J339" s="332"/>
      <c r="K339" s="354"/>
      <c r="M339" s="37"/>
      <c r="N339" s="38"/>
    </row>
    <row r="340" spans="1:15" ht="4.5" customHeight="1" x14ac:dyDescent="0.25">
      <c r="A340" s="939"/>
      <c r="B340" s="892"/>
      <c r="C340" s="893"/>
      <c r="D340" s="876"/>
      <c r="E340" s="785"/>
      <c r="F340" s="333"/>
      <c r="H340" s="333"/>
      <c r="J340" s="334"/>
      <c r="K340" s="354"/>
      <c r="M340" s="37"/>
      <c r="N340" s="38"/>
    </row>
    <row r="341" spans="1:15" ht="12.75" customHeight="1" x14ac:dyDescent="0.25">
      <c r="A341" s="939"/>
      <c r="B341" s="892"/>
      <c r="C341" s="893"/>
      <c r="D341" s="876"/>
      <c r="E341" s="838" t="str">
        <f>IF(AND(F341="",G341="",H341="",I341="",J341=""),IF(fio="","",0),"")</f>
        <v/>
      </c>
      <c r="F341" s="865"/>
      <c r="G341" s="865"/>
      <c r="H341" s="865"/>
      <c r="I341" s="865"/>
      <c r="J341" s="865"/>
      <c r="K341" s="358"/>
      <c r="L341" s="328">
        <f>SUM(E341:J342)</f>
        <v>0</v>
      </c>
      <c r="M341" s="329"/>
      <c r="N341" s="330">
        <v>340</v>
      </c>
    </row>
    <row r="342" spans="1:15" ht="12.75" customHeight="1" x14ac:dyDescent="0.25">
      <c r="A342" s="940"/>
      <c r="B342" s="894"/>
      <c r="C342" s="895"/>
      <c r="D342" s="877"/>
      <c r="E342" s="840"/>
      <c r="F342" s="866"/>
      <c r="G342" s="866"/>
      <c r="H342" s="866"/>
      <c r="I342" s="866"/>
      <c r="J342" s="866"/>
      <c r="K342" s="358"/>
      <c r="L342" s="328"/>
      <c r="M342" s="329"/>
      <c r="N342" s="330"/>
    </row>
    <row r="343" spans="1:15" ht="12.75" customHeight="1" x14ac:dyDescent="0.25">
      <c r="A343" s="938" t="s">
        <v>477</v>
      </c>
      <c r="B343" s="890" t="s">
        <v>3</v>
      </c>
      <c r="C343" s="891"/>
      <c r="D343" s="875" t="s">
        <v>249</v>
      </c>
      <c r="E343" s="783" t="s">
        <v>132</v>
      </c>
      <c r="F343" s="13" t="s">
        <v>244</v>
      </c>
      <c r="G343" s="16" t="s">
        <v>306</v>
      </c>
      <c r="H343" s="13" t="s">
        <v>344</v>
      </c>
      <c r="I343" s="17" t="s">
        <v>345</v>
      </c>
      <c r="J343" s="17" t="s">
        <v>346</v>
      </c>
      <c r="K343" s="354"/>
      <c r="M343" s="37"/>
      <c r="N343" s="38"/>
    </row>
    <row r="344" spans="1:15" ht="12.75" customHeight="1" x14ac:dyDescent="0.25">
      <c r="A344" s="939"/>
      <c r="B344" s="892"/>
      <c r="C344" s="893"/>
      <c r="D344" s="876"/>
      <c r="E344" s="784"/>
      <c r="F344" s="14" t="s">
        <v>432</v>
      </c>
      <c r="G344" s="14" t="s">
        <v>133</v>
      </c>
      <c r="H344" s="14" t="s">
        <v>133</v>
      </c>
      <c r="I344" s="15" t="s">
        <v>133</v>
      </c>
      <c r="J344" s="15" t="s">
        <v>390</v>
      </c>
      <c r="K344" s="354"/>
      <c r="M344" s="37"/>
      <c r="N344" s="38"/>
    </row>
    <row r="345" spans="1:15" ht="20.25" customHeight="1" x14ac:dyDescent="0.25">
      <c r="A345" s="939"/>
      <c r="B345" s="892"/>
      <c r="C345" s="893"/>
      <c r="D345" s="876"/>
      <c r="E345" s="784"/>
      <c r="F345" s="14"/>
      <c r="G345" s="103"/>
      <c r="H345" s="14"/>
      <c r="I345" s="229"/>
      <c r="J345" s="15" t="s">
        <v>61</v>
      </c>
      <c r="K345" s="354"/>
      <c r="M345" s="37"/>
      <c r="N345" s="38"/>
    </row>
    <row r="346" spans="1:15" ht="22.5" customHeight="1" x14ac:dyDescent="0.25">
      <c r="A346" s="939"/>
      <c r="B346" s="892"/>
      <c r="C346" s="893"/>
      <c r="D346" s="876"/>
      <c r="E346" s="784"/>
      <c r="F346" s="64" t="s">
        <v>250</v>
      </c>
      <c r="G346" s="66" t="s">
        <v>251</v>
      </c>
      <c r="H346" s="64" t="s">
        <v>353</v>
      </c>
      <c r="I346" s="64" t="s">
        <v>354</v>
      </c>
      <c r="J346" s="67" t="s">
        <v>355</v>
      </c>
      <c r="K346" s="354"/>
      <c r="M346" s="37"/>
      <c r="N346" s="38"/>
    </row>
    <row r="347" spans="1:15" ht="24" x14ac:dyDescent="0.25">
      <c r="A347" s="939"/>
      <c r="B347" s="892"/>
      <c r="C347" s="893"/>
      <c r="D347" s="876"/>
      <c r="E347" s="784"/>
      <c r="F347" s="64" t="s">
        <v>252</v>
      </c>
      <c r="G347" s="66" t="s">
        <v>253</v>
      </c>
      <c r="H347" s="64" t="s">
        <v>356</v>
      </c>
      <c r="I347" s="64" t="s">
        <v>357</v>
      </c>
      <c r="J347" s="67" t="s">
        <v>248</v>
      </c>
      <c r="K347" s="354"/>
      <c r="M347" s="37"/>
      <c r="N347" s="38"/>
    </row>
    <row r="348" spans="1:15" ht="22.5" customHeight="1" x14ac:dyDescent="0.25">
      <c r="A348" s="939"/>
      <c r="B348" s="892"/>
      <c r="C348" s="893"/>
      <c r="D348" s="876"/>
      <c r="E348" s="784"/>
      <c r="F348" s="64" t="s">
        <v>58</v>
      </c>
      <c r="G348" s="66" t="s">
        <v>57</v>
      </c>
      <c r="H348" s="64" t="s">
        <v>179</v>
      </c>
      <c r="I348" s="64" t="s">
        <v>247</v>
      </c>
      <c r="J348" s="67"/>
      <c r="K348" s="354"/>
      <c r="M348" s="37"/>
      <c r="N348" s="38"/>
    </row>
    <row r="349" spans="1:15" ht="7.5" customHeight="1" x14ac:dyDescent="0.25">
      <c r="A349" s="939"/>
      <c r="B349" s="892"/>
      <c r="C349" s="893"/>
      <c r="D349" s="876"/>
      <c r="E349" s="785"/>
      <c r="F349" s="66"/>
      <c r="G349" s="334"/>
      <c r="H349" s="66"/>
      <c r="I349" s="334"/>
      <c r="J349" s="334"/>
      <c r="K349" s="354"/>
      <c r="M349" s="37"/>
      <c r="N349" s="38"/>
    </row>
    <row r="350" spans="1:15" ht="12.75" customHeight="1" x14ac:dyDescent="0.25">
      <c r="A350" s="939"/>
      <c r="B350" s="892"/>
      <c r="C350" s="893"/>
      <c r="D350" s="876"/>
      <c r="E350" s="838" t="str">
        <f>IF(AND(F350="",G350="",H350="",I350="",J350=""),IF(fio="","",0),"")</f>
        <v/>
      </c>
      <c r="F350" s="865"/>
      <c r="G350" s="865"/>
      <c r="H350" s="865"/>
      <c r="I350" s="865"/>
      <c r="J350" s="865"/>
      <c r="K350" s="358"/>
      <c r="L350" s="328">
        <f>SUM(E350:J351)</f>
        <v>0</v>
      </c>
      <c r="M350" s="329">
        <v>340</v>
      </c>
      <c r="N350" s="330"/>
    </row>
    <row r="351" spans="1:15" ht="12.75" customHeight="1" x14ac:dyDescent="0.25">
      <c r="A351" s="940"/>
      <c r="B351" s="894"/>
      <c r="C351" s="895"/>
      <c r="D351" s="877"/>
      <c r="E351" s="840"/>
      <c r="F351" s="866"/>
      <c r="G351" s="866"/>
      <c r="H351" s="866"/>
      <c r="I351" s="866"/>
      <c r="J351" s="866"/>
      <c r="K351" s="358"/>
      <c r="L351" s="328"/>
      <c r="M351" s="329"/>
      <c r="N351" s="330"/>
    </row>
    <row r="352" spans="1:15" s="12" customFormat="1" ht="14.25" hidden="1" customHeight="1" x14ac:dyDescent="0.25">
      <c r="A352" s="921" t="s">
        <v>168</v>
      </c>
      <c r="B352" s="828" t="s">
        <v>127</v>
      </c>
      <c r="C352" s="830"/>
      <c r="D352" s="941" t="s">
        <v>257</v>
      </c>
      <c r="E352" s="742" t="s">
        <v>128</v>
      </c>
      <c r="F352" s="743"/>
      <c r="G352" s="743"/>
      <c r="H352" s="743"/>
      <c r="I352" s="743"/>
      <c r="J352" s="744"/>
      <c r="K352" s="357"/>
      <c r="L352" s="36"/>
      <c r="M352" s="37"/>
      <c r="N352" s="38"/>
      <c r="O352" s="139"/>
    </row>
    <row r="353" spans="1:17" s="12" customFormat="1" ht="13.2" hidden="1" x14ac:dyDescent="0.25">
      <c r="A353" s="922"/>
      <c r="B353" s="831"/>
      <c r="C353" s="833"/>
      <c r="D353" s="942"/>
      <c r="E353" s="745" t="s">
        <v>129</v>
      </c>
      <c r="F353" s="746"/>
      <c r="G353" s="746"/>
      <c r="H353" s="746"/>
      <c r="I353" s="746"/>
      <c r="J353" s="747"/>
      <c r="K353" s="357"/>
      <c r="L353" s="36"/>
      <c r="M353" s="37"/>
      <c r="N353" s="38"/>
      <c r="O353" s="139"/>
      <c r="P353" s="45"/>
      <c r="Q353" s="45"/>
    </row>
    <row r="354" spans="1:17" s="12" customFormat="1" ht="12.75" hidden="1" customHeight="1" x14ac:dyDescent="0.25">
      <c r="A354" s="923"/>
      <c r="B354" s="834"/>
      <c r="C354" s="836"/>
      <c r="D354" s="943"/>
      <c r="E354" s="2">
        <v>0</v>
      </c>
      <c r="F354" s="58" t="s">
        <v>282</v>
      </c>
      <c r="G354" s="2" t="s">
        <v>283</v>
      </c>
      <c r="H354" s="2" t="s">
        <v>284</v>
      </c>
      <c r="I354" s="2" t="s">
        <v>285</v>
      </c>
      <c r="J354" s="2" t="s">
        <v>286</v>
      </c>
      <c r="K354" s="357"/>
      <c r="L354" s="36"/>
      <c r="M354" s="37"/>
      <c r="N354" s="38"/>
      <c r="O354" s="139"/>
    </row>
    <row r="355" spans="1:17" ht="12.75" customHeight="1" x14ac:dyDescent="0.25">
      <c r="A355" s="938" t="s">
        <v>478</v>
      </c>
      <c r="B355" s="890" t="s">
        <v>600</v>
      </c>
      <c r="C355" s="1014"/>
      <c r="D355" s="875" t="s">
        <v>601</v>
      </c>
      <c r="E355" s="783" t="s">
        <v>132</v>
      </c>
      <c r="F355" s="13" t="s">
        <v>244</v>
      </c>
      <c r="G355" s="16" t="s">
        <v>306</v>
      </c>
      <c r="H355" s="13" t="s">
        <v>344</v>
      </c>
      <c r="I355" s="17" t="s">
        <v>345</v>
      </c>
      <c r="J355" s="17" t="s">
        <v>346</v>
      </c>
      <c r="K355" s="354"/>
      <c r="M355" s="37"/>
      <c r="N355" s="38"/>
    </row>
    <row r="356" spans="1:17" ht="12.75" customHeight="1" x14ac:dyDescent="0.25">
      <c r="A356" s="939"/>
      <c r="B356" s="1015"/>
      <c r="C356" s="1016"/>
      <c r="D356" s="876"/>
      <c r="E356" s="784"/>
      <c r="F356" s="14" t="s">
        <v>432</v>
      </c>
      <c r="G356" s="14" t="s">
        <v>133</v>
      </c>
      <c r="H356" s="14" t="s">
        <v>133</v>
      </c>
      <c r="I356" s="15" t="s">
        <v>133</v>
      </c>
      <c r="J356" s="15" t="s">
        <v>390</v>
      </c>
      <c r="K356" s="354"/>
      <c r="M356" s="37"/>
      <c r="N356" s="38"/>
    </row>
    <row r="357" spans="1:17" ht="16.5" customHeight="1" x14ac:dyDescent="0.25">
      <c r="A357" s="939"/>
      <c r="B357" s="1015"/>
      <c r="C357" s="1016"/>
      <c r="D357" s="876"/>
      <c r="E357" s="784"/>
      <c r="F357" s="14"/>
      <c r="G357" s="103"/>
      <c r="H357" s="14"/>
      <c r="I357" s="229"/>
      <c r="J357" s="15" t="s">
        <v>61</v>
      </c>
      <c r="K357" s="354"/>
      <c r="M357" s="37"/>
      <c r="N357" s="38"/>
    </row>
    <row r="358" spans="1:17" ht="24.75" customHeight="1" x14ac:dyDescent="0.25">
      <c r="A358" s="939"/>
      <c r="B358" s="1015"/>
      <c r="C358" s="1016"/>
      <c r="D358" s="876"/>
      <c r="E358" s="784"/>
      <c r="F358" s="236" t="s">
        <v>602</v>
      </c>
      <c r="G358" s="236" t="s">
        <v>603</v>
      </c>
      <c r="H358" s="238" t="s">
        <v>604</v>
      </c>
      <c r="I358" s="236" t="s">
        <v>605</v>
      </c>
      <c r="J358" s="622" t="s">
        <v>606</v>
      </c>
      <c r="K358" s="354"/>
      <c r="M358" s="37"/>
      <c r="N358" s="38"/>
    </row>
    <row r="359" spans="1:17" ht="13.2" x14ac:dyDescent="0.25">
      <c r="A359" s="939"/>
      <c r="B359" s="1015"/>
      <c r="C359" s="1016"/>
      <c r="D359" s="876"/>
      <c r="E359" s="784"/>
      <c r="F359" s="64"/>
      <c r="G359" s="64"/>
      <c r="H359" s="66"/>
      <c r="I359" s="64"/>
      <c r="J359" s="67"/>
      <c r="K359" s="354"/>
      <c r="M359" s="37"/>
      <c r="N359" s="38"/>
    </row>
    <row r="360" spans="1:17" ht="3.75" customHeight="1" x14ac:dyDescent="0.25">
      <c r="A360" s="939"/>
      <c r="B360" s="1015"/>
      <c r="C360" s="1016"/>
      <c r="D360" s="876"/>
      <c r="E360" s="785"/>
      <c r="F360" s="64"/>
      <c r="G360" s="66"/>
      <c r="H360" s="64"/>
      <c r="I360" s="64"/>
      <c r="J360" s="67"/>
      <c r="K360" s="354"/>
      <c r="M360" s="37"/>
      <c r="N360" s="38"/>
    </row>
    <row r="361" spans="1:17" ht="12.75" customHeight="1" x14ac:dyDescent="0.25">
      <c r="A361" s="939"/>
      <c r="B361" s="1015"/>
      <c r="C361" s="1016"/>
      <c r="D361" s="876"/>
      <c r="E361" s="838" t="str">
        <f>IF(AND(F361="",G361="",H361="",I361="",J361=""),IF(fio="","",0),"")</f>
        <v/>
      </c>
      <c r="F361" s="863"/>
      <c r="G361" s="863"/>
      <c r="H361" s="863"/>
      <c r="I361" s="863"/>
      <c r="J361" s="863"/>
      <c r="K361" s="354"/>
      <c r="L361" s="36">
        <f>SUM(E361:J362)</f>
        <v>0</v>
      </c>
      <c r="M361" s="37">
        <v>200</v>
      </c>
      <c r="N361" s="38"/>
    </row>
    <row r="362" spans="1:17" ht="12.75" customHeight="1" x14ac:dyDescent="0.25">
      <c r="A362" s="940"/>
      <c r="B362" s="1017"/>
      <c r="C362" s="1018"/>
      <c r="D362" s="877"/>
      <c r="E362" s="840"/>
      <c r="F362" s="864"/>
      <c r="G362" s="864"/>
      <c r="H362" s="864"/>
      <c r="I362" s="864"/>
      <c r="J362" s="864"/>
      <c r="K362" s="354"/>
      <c r="M362" s="37"/>
      <c r="N362" s="38"/>
    </row>
    <row r="363" spans="1:17" s="12" customFormat="1" ht="14.25" customHeight="1" x14ac:dyDescent="0.25">
      <c r="A363" s="921" t="s">
        <v>168</v>
      </c>
      <c r="B363" s="924" t="s">
        <v>127</v>
      </c>
      <c r="C363" s="925"/>
      <c r="D363" s="924" t="s">
        <v>147</v>
      </c>
      <c r="E363" s="925"/>
      <c r="F363" s="742" t="s">
        <v>128</v>
      </c>
      <c r="G363" s="743"/>
      <c r="H363" s="743"/>
      <c r="I363" s="743"/>
      <c r="J363" s="744"/>
      <c r="K363" s="357"/>
      <c r="L363" s="36"/>
      <c r="M363" s="37"/>
      <c r="N363" s="38"/>
    </row>
    <row r="364" spans="1:17" s="12" customFormat="1" ht="15" customHeight="1" x14ac:dyDescent="0.25">
      <c r="A364" s="922"/>
      <c r="B364" s="926"/>
      <c r="C364" s="927"/>
      <c r="D364" s="926"/>
      <c r="E364" s="927"/>
      <c r="F364" s="745" t="s">
        <v>129</v>
      </c>
      <c r="G364" s="746"/>
      <c r="H364" s="746"/>
      <c r="I364" s="746"/>
      <c r="J364" s="747"/>
      <c r="K364" s="357"/>
      <c r="L364" s="36"/>
      <c r="M364" s="37"/>
      <c r="N364" s="38"/>
    </row>
    <row r="365" spans="1:17" s="12" customFormat="1" ht="12.75" customHeight="1" x14ac:dyDescent="0.25">
      <c r="A365" s="923"/>
      <c r="B365" s="928"/>
      <c r="C365" s="929"/>
      <c r="D365" s="928"/>
      <c r="E365" s="929"/>
      <c r="F365" s="2">
        <v>0</v>
      </c>
      <c r="G365" s="823">
        <v>30</v>
      </c>
      <c r="H365" s="1013"/>
      <c r="I365" s="823">
        <v>50</v>
      </c>
      <c r="J365" s="769"/>
      <c r="K365" s="357"/>
      <c r="L365" s="36"/>
      <c r="M365" s="37"/>
      <c r="N365" s="38"/>
    </row>
    <row r="366" spans="1:17" ht="12.75" customHeight="1" x14ac:dyDescent="0.25">
      <c r="A366" s="935" t="s">
        <v>479</v>
      </c>
      <c r="B366" s="896" t="s">
        <v>4</v>
      </c>
      <c r="C366" s="977"/>
      <c r="D366" s="930" t="s">
        <v>380</v>
      </c>
      <c r="E366" s="931"/>
      <c r="F366" s="783" t="s">
        <v>381</v>
      </c>
      <c r="G366" s="888" t="s">
        <v>471</v>
      </c>
      <c r="H366" s="889"/>
      <c r="I366" s="888" t="s">
        <v>382</v>
      </c>
      <c r="J366" s="976"/>
      <c r="K366" s="354"/>
      <c r="M366" s="37"/>
      <c r="N366" s="38"/>
      <c r="O366" s="3"/>
    </row>
    <row r="367" spans="1:17" ht="15.75" customHeight="1" x14ac:dyDescent="0.25">
      <c r="A367" s="936"/>
      <c r="B367" s="978"/>
      <c r="C367" s="979"/>
      <c r="D367" s="850"/>
      <c r="E367" s="852"/>
      <c r="F367" s="785"/>
      <c r="G367" s="904"/>
      <c r="H367" s="1011"/>
      <c r="I367" s="904" t="s">
        <v>383</v>
      </c>
      <c r="J367" s="905"/>
      <c r="K367" s="354"/>
      <c r="M367" s="37"/>
      <c r="N367" s="38"/>
      <c r="O367" s="3"/>
    </row>
    <row r="368" spans="1:17" ht="12.75" customHeight="1" x14ac:dyDescent="0.25">
      <c r="A368" s="936"/>
      <c r="B368" s="978"/>
      <c r="C368" s="979"/>
      <c r="D368" s="850"/>
      <c r="E368" s="852"/>
      <c r="F368" s="838" t="str">
        <f>IF(AND(G368="",I368=""),IF(fio="","",0),"")</f>
        <v/>
      </c>
      <c r="G368" s="878"/>
      <c r="H368" s="879"/>
      <c r="I368" s="878"/>
      <c r="J368" s="906"/>
      <c r="K368" s="354"/>
      <c r="L368" s="36">
        <f>SUM(F368:J369)</f>
        <v>0</v>
      </c>
      <c r="M368" s="37">
        <v>80</v>
      </c>
      <c r="N368" s="38"/>
      <c r="O368" s="3"/>
    </row>
    <row r="369" spans="1:17" ht="12.75" customHeight="1" x14ac:dyDescent="0.25">
      <c r="A369" s="937"/>
      <c r="B369" s="980"/>
      <c r="C369" s="981"/>
      <c r="D369" s="745"/>
      <c r="E369" s="747"/>
      <c r="F369" s="840"/>
      <c r="G369" s="880"/>
      <c r="H369" s="881"/>
      <c r="I369" s="880"/>
      <c r="J369" s="907"/>
      <c r="K369" s="354"/>
      <c r="M369" s="37"/>
      <c r="N369" s="38"/>
      <c r="O369" s="3"/>
    </row>
    <row r="370" spans="1:17" s="12" customFormat="1" ht="14.25" customHeight="1" x14ac:dyDescent="0.25">
      <c r="A370" s="921" t="s">
        <v>168</v>
      </c>
      <c r="B370" s="828" t="s">
        <v>127</v>
      </c>
      <c r="C370" s="830"/>
      <c r="D370" s="941" t="s">
        <v>257</v>
      </c>
      <c r="E370" s="742" t="s">
        <v>128</v>
      </c>
      <c r="F370" s="743"/>
      <c r="G370" s="743"/>
      <c r="H370" s="743"/>
      <c r="I370" s="743"/>
      <c r="J370" s="744"/>
      <c r="K370" s="357"/>
      <c r="L370" s="36"/>
      <c r="M370" s="37"/>
      <c r="N370" s="38"/>
      <c r="O370" s="139"/>
    </row>
    <row r="371" spans="1:17" s="12" customFormat="1" ht="13.2" x14ac:dyDescent="0.25">
      <c r="A371" s="922"/>
      <c r="B371" s="831"/>
      <c r="C371" s="833"/>
      <c r="D371" s="942"/>
      <c r="E371" s="745" t="s">
        <v>129</v>
      </c>
      <c r="F371" s="746"/>
      <c r="G371" s="746"/>
      <c r="H371" s="746"/>
      <c r="I371" s="746"/>
      <c r="J371" s="747"/>
      <c r="K371" s="357"/>
      <c r="L371" s="36"/>
      <c r="M371" s="37"/>
      <c r="N371" s="38"/>
      <c r="O371" s="139"/>
      <c r="P371" s="45"/>
      <c r="Q371" s="45"/>
    </row>
    <row r="372" spans="1:17" s="12" customFormat="1" ht="12.75" customHeight="1" x14ac:dyDescent="0.25">
      <c r="A372" s="923"/>
      <c r="B372" s="834"/>
      <c r="C372" s="836"/>
      <c r="D372" s="943"/>
      <c r="E372" s="2">
        <v>0</v>
      </c>
      <c r="F372" s="58" t="s">
        <v>384</v>
      </c>
      <c r="G372" s="58" t="s">
        <v>292</v>
      </c>
      <c r="H372" s="2" t="s">
        <v>283</v>
      </c>
      <c r="I372" s="2" t="s">
        <v>284</v>
      </c>
      <c r="J372" s="2" t="s">
        <v>285</v>
      </c>
      <c r="K372" s="357"/>
      <c r="L372" s="36"/>
      <c r="M372" s="37"/>
      <c r="N372" s="38"/>
      <c r="O372" s="139"/>
    </row>
    <row r="373" spans="1:17" ht="12.75" customHeight="1" x14ac:dyDescent="0.25">
      <c r="A373" s="938" t="s">
        <v>480</v>
      </c>
      <c r="B373" s="890" t="s">
        <v>498</v>
      </c>
      <c r="C373" s="891"/>
      <c r="D373" s="875" t="s">
        <v>249</v>
      </c>
      <c r="E373" s="888" t="s">
        <v>132</v>
      </c>
      <c r="F373" s="13" t="s">
        <v>244</v>
      </c>
      <c r="G373" s="16" t="s">
        <v>306</v>
      </c>
      <c r="H373" s="13" t="s">
        <v>344</v>
      </c>
      <c r="I373" s="17" t="s">
        <v>345</v>
      </c>
      <c r="J373" s="17" t="s">
        <v>346</v>
      </c>
      <c r="K373" s="354"/>
      <c r="M373" s="37"/>
      <c r="N373" s="38"/>
    </row>
    <row r="374" spans="1:17" ht="12.75" customHeight="1" x14ac:dyDescent="0.25">
      <c r="A374" s="939"/>
      <c r="B374" s="892"/>
      <c r="C374" s="893"/>
      <c r="D374" s="876"/>
      <c r="E374" s="902"/>
      <c r="F374" s="14" t="s">
        <v>432</v>
      </c>
      <c r="G374" s="14" t="s">
        <v>133</v>
      </c>
      <c r="H374" s="14" t="s">
        <v>133</v>
      </c>
      <c r="I374" s="15" t="s">
        <v>133</v>
      </c>
      <c r="J374" s="15" t="s">
        <v>390</v>
      </c>
      <c r="K374" s="354"/>
      <c r="M374" s="37"/>
      <c r="N374" s="38"/>
    </row>
    <row r="375" spans="1:17" ht="15.75" customHeight="1" x14ac:dyDescent="0.25">
      <c r="A375" s="939"/>
      <c r="B375" s="892"/>
      <c r="C375" s="893"/>
      <c r="D375" s="876"/>
      <c r="E375" s="902"/>
      <c r="F375" s="14"/>
      <c r="G375" s="103"/>
      <c r="H375" s="14"/>
      <c r="I375" s="229"/>
      <c r="J375" s="15" t="s">
        <v>61</v>
      </c>
      <c r="K375" s="354"/>
      <c r="M375" s="37"/>
      <c r="N375" s="38"/>
    </row>
    <row r="376" spans="1:17" ht="27" customHeight="1" x14ac:dyDescent="0.25">
      <c r="A376" s="939"/>
      <c r="B376" s="892"/>
      <c r="C376" s="893"/>
      <c r="D376" s="876"/>
      <c r="E376" s="902"/>
      <c r="F376" s="64" t="s">
        <v>250</v>
      </c>
      <c r="G376" s="64" t="s">
        <v>250</v>
      </c>
      <c r="H376" s="64" t="s">
        <v>287</v>
      </c>
      <c r="I376" s="66" t="s">
        <v>251</v>
      </c>
      <c r="J376" s="64" t="s">
        <v>385</v>
      </c>
      <c r="K376" s="354"/>
      <c r="M376" s="37"/>
      <c r="N376" s="38"/>
    </row>
    <row r="377" spans="1:17" ht="24" x14ac:dyDescent="0.25">
      <c r="A377" s="939"/>
      <c r="B377" s="892"/>
      <c r="C377" s="893"/>
      <c r="D377" s="876"/>
      <c r="E377" s="902"/>
      <c r="F377" s="64" t="s">
        <v>288</v>
      </c>
      <c r="G377" s="64" t="s">
        <v>289</v>
      </c>
      <c r="H377" s="64" t="s">
        <v>289</v>
      </c>
      <c r="I377" s="66" t="s">
        <v>290</v>
      </c>
      <c r="J377" s="64" t="s">
        <v>291</v>
      </c>
      <c r="K377" s="354"/>
      <c r="M377" s="37"/>
      <c r="N377" s="38"/>
    </row>
    <row r="378" spans="1:17" ht="2.25" customHeight="1" x14ac:dyDescent="0.25">
      <c r="A378" s="939"/>
      <c r="B378" s="892"/>
      <c r="C378" s="893"/>
      <c r="D378" s="876"/>
      <c r="E378" s="902"/>
      <c r="F378" s="64"/>
      <c r="G378" s="66"/>
      <c r="H378" s="64"/>
      <c r="I378" s="64"/>
      <c r="J378" s="67"/>
      <c r="K378" s="354"/>
      <c r="M378" s="37"/>
      <c r="N378" s="38"/>
    </row>
    <row r="379" spans="1:17" ht="12.75" customHeight="1" x14ac:dyDescent="0.25">
      <c r="A379" s="939"/>
      <c r="B379" s="892"/>
      <c r="C379" s="893"/>
      <c r="D379" s="876"/>
      <c r="E379" s="838" t="str">
        <f>IF(AND(F379="",G379="",H379="",I379="",J379=""),IF(fio="","",0),"")</f>
        <v/>
      </c>
      <c r="F379" s="863"/>
      <c r="G379" s="863"/>
      <c r="H379" s="863"/>
      <c r="I379" s="863"/>
      <c r="J379" s="863"/>
      <c r="K379" s="354"/>
      <c r="L379" s="36">
        <f>SUM(E379:J380)</f>
        <v>0</v>
      </c>
      <c r="M379" s="37">
        <v>150</v>
      </c>
      <c r="N379" s="38"/>
    </row>
    <row r="380" spans="1:17" ht="12.75" customHeight="1" x14ac:dyDescent="0.25">
      <c r="A380" s="940"/>
      <c r="B380" s="894"/>
      <c r="C380" s="895"/>
      <c r="D380" s="877"/>
      <c r="E380" s="840"/>
      <c r="F380" s="864"/>
      <c r="G380" s="864"/>
      <c r="H380" s="864"/>
      <c r="I380" s="864"/>
      <c r="J380" s="864"/>
      <c r="K380" s="354"/>
      <c r="M380" s="37"/>
      <c r="N380" s="38"/>
    </row>
    <row r="381" spans="1:17" ht="35.25" customHeight="1" x14ac:dyDescent="0.25">
      <c r="A381" s="16"/>
      <c r="B381" s="124"/>
      <c r="C381" s="124"/>
      <c r="D381" s="54"/>
      <c r="E381" s="62"/>
      <c r="F381" s="108"/>
      <c r="G381" s="91"/>
      <c r="H381" s="108"/>
      <c r="I381" s="108"/>
      <c r="J381" s="108"/>
      <c r="K381" s="354"/>
      <c r="M381" s="44"/>
      <c r="N381" s="44"/>
    </row>
    <row r="382" spans="1:17" ht="12.75" customHeight="1" x14ac:dyDescent="0.25">
      <c r="A382" s="16"/>
      <c r="B382" s="787" t="s">
        <v>143</v>
      </c>
      <c r="C382" s="787"/>
      <c r="D382" s="54"/>
      <c r="E382" s="54"/>
      <c r="F382" s="54"/>
      <c r="G382" s="54"/>
      <c r="H382" s="54"/>
      <c r="I382" s="54"/>
      <c r="J382" s="54"/>
      <c r="K382" s="354"/>
      <c r="M382" s="44"/>
      <c r="N382" s="44"/>
    </row>
    <row r="383" spans="1:17" ht="14.25" customHeight="1" x14ac:dyDescent="0.25">
      <c r="A383" s="921" t="s">
        <v>168</v>
      </c>
      <c r="B383" s="828" t="s">
        <v>127</v>
      </c>
      <c r="C383" s="830"/>
      <c r="D383" s="941" t="s">
        <v>279</v>
      </c>
      <c r="E383" s="742" t="s">
        <v>128</v>
      </c>
      <c r="F383" s="743"/>
      <c r="G383" s="743"/>
      <c r="H383" s="743"/>
      <c r="I383" s="743"/>
      <c r="J383" s="744"/>
      <c r="K383" s="354"/>
      <c r="M383" s="37"/>
      <c r="N383" s="38"/>
    </row>
    <row r="384" spans="1:17" ht="14.25" customHeight="1" x14ac:dyDescent="0.25">
      <c r="A384" s="922"/>
      <c r="B384" s="831"/>
      <c r="C384" s="833"/>
      <c r="D384" s="942"/>
      <c r="E384" s="745" t="s">
        <v>136</v>
      </c>
      <c r="F384" s="746"/>
      <c r="G384" s="746"/>
      <c r="H384" s="746"/>
      <c r="I384" s="746"/>
      <c r="J384" s="747"/>
      <c r="K384" s="354"/>
      <c r="M384" s="37"/>
      <c r="N384" s="38"/>
    </row>
    <row r="385" spans="1:14" ht="14.25" customHeight="1" x14ac:dyDescent="0.25">
      <c r="A385" s="923"/>
      <c r="B385" s="834"/>
      <c r="C385" s="836"/>
      <c r="D385" s="943"/>
      <c r="E385" s="2">
        <v>0</v>
      </c>
      <c r="F385" s="11" t="s">
        <v>62</v>
      </c>
      <c r="G385" s="11" t="s">
        <v>183</v>
      </c>
      <c r="H385" s="11" t="s">
        <v>264</v>
      </c>
      <c r="I385" s="11" t="s">
        <v>266</v>
      </c>
      <c r="J385" s="11" t="s">
        <v>184</v>
      </c>
      <c r="K385" s="354"/>
      <c r="M385" s="37"/>
      <c r="N385" s="38"/>
    </row>
    <row r="386" spans="1:14" ht="12.75" customHeight="1" x14ac:dyDescent="0.25">
      <c r="A386" s="950" t="s">
        <v>481</v>
      </c>
      <c r="B386" s="896" t="s">
        <v>267</v>
      </c>
      <c r="C386" s="897"/>
      <c r="D386" s="875" t="s">
        <v>515</v>
      </c>
      <c r="E386" s="783" t="s">
        <v>132</v>
      </c>
      <c r="F386" s="13" t="s">
        <v>244</v>
      </c>
      <c r="G386" s="16" t="s">
        <v>306</v>
      </c>
      <c r="H386" s="13" t="s">
        <v>344</v>
      </c>
      <c r="I386" s="17" t="s">
        <v>345</v>
      </c>
      <c r="J386" s="17" t="s">
        <v>346</v>
      </c>
      <c r="K386" s="354"/>
      <c r="M386" s="37"/>
      <c r="N386" s="38"/>
    </row>
    <row r="387" spans="1:14" ht="12.75" customHeight="1" x14ac:dyDescent="0.25">
      <c r="A387" s="951"/>
      <c r="B387" s="898"/>
      <c r="C387" s="899"/>
      <c r="D387" s="876"/>
      <c r="E387" s="784"/>
      <c r="F387" s="14" t="s">
        <v>432</v>
      </c>
      <c r="G387" s="14" t="s">
        <v>133</v>
      </c>
      <c r="H387" s="14" t="s">
        <v>133</v>
      </c>
      <c r="I387" s="15" t="s">
        <v>133</v>
      </c>
      <c r="J387" s="15" t="s">
        <v>390</v>
      </c>
      <c r="K387" s="354"/>
      <c r="M387" s="37"/>
      <c r="N387" s="38"/>
    </row>
    <row r="388" spans="1:14" ht="15.75" customHeight="1" x14ac:dyDescent="0.25">
      <c r="A388" s="951"/>
      <c r="B388" s="898"/>
      <c r="C388" s="899"/>
      <c r="D388" s="876"/>
      <c r="E388" s="784"/>
      <c r="F388" s="14"/>
      <c r="G388" s="103"/>
      <c r="H388" s="14"/>
      <c r="I388" s="229"/>
      <c r="J388" s="15" t="s">
        <v>61</v>
      </c>
      <c r="K388" s="354"/>
      <c r="M388" s="37"/>
      <c r="N388" s="38"/>
    </row>
    <row r="389" spans="1:14" ht="38.25" customHeight="1" x14ac:dyDescent="0.25">
      <c r="A389" s="951"/>
      <c r="B389" s="898"/>
      <c r="C389" s="899"/>
      <c r="D389" s="876"/>
      <c r="E389" s="784"/>
      <c r="F389" s="335" t="s">
        <v>189</v>
      </c>
      <c r="G389" s="335" t="s">
        <v>189</v>
      </c>
      <c r="H389" s="335" t="s">
        <v>189</v>
      </c>
      <c r="I389" s="335" t="s">
        <v>189</v>
      </c>
      <c r="J389" s="335" t="s">
        <v>189</v>
      </c>
      <c r="K389" s="354"/>
      <c r="M389" s="37"/>
      <c r="N389" s="38"/>
    </row>
    <row r="390" spans="1:14" ht="14.25" customHeight="1" x14ac:dyDescent="0.25">
      <c r="A390" s="951"/>
      <c r="B390" s="885" t="s">
        <v>5</v>
      </c>
      <c r="C390" s="887"/>
      <c r="D390" s="876"/>
      <c r="E390" s="784"/>
      <c r="F390" s="336" t="s">
        <v>261</v>
      </c>
      <c r="G390" s="337" t="s">
        <v>262</v>
      </c>
      <c r="H390" s="337" t="s">
        <v>263</v>
      </c>
      <c r="I390" s="337" t="s">
        <v>269</v>
      </c>
      <c r="J390" s="337" t="s">
        <v>387</v>
      </c>
      <c r="K390" s="354"/>
      <c r="M390" s="37"/>
      <c r="N390" s="38"/>
    </row>
    <row r="391" spans="1:14" ht="26.25" customHeight="1" x14ac:dyDescent="0.25">
      <c r="A391" s="951"/>
      <c r="B391" s="885"/>
      <c r="C391" s="887"/>
      <c r="D391" s="876"/>
      <c r="E391" s="784"/>
      <c r="F391" s="336" t="s">
        <v>177</v>
      </c>
      <c r="G391" s="337" t="s">
        <v>178</v>
      </c>
      <c r="H391" s="337" t="s">
        <v>268</v>
      </c>
      <c r="I391" s="337" t="s">
        <v>270</v>
      </c>
      <c r="J391" s="337" t="s">
        <v>386</v>
      </c>
      <c r="K391" s="354"/>
      <c r="M391" s="37"/>
      <c r="N391" s="38"/>
    </row>
    <row r="392" spans="1:14" ht="23.25" customHeight="1" x14ac:dyDescent="0.25">
      <c r="A392" s="951"/>
      <c r="B392" s="885"/>
      <c r="C392" s="887"/>
      <c r="D392" s="876"/>
      <c r="E392" s="784"/>
      <c r="F392" s="336"/>
      <c r="G392" s="337"/>
      <c r="H392" s="337"/>
      <c r="I392" s="243" t="s">
        <v>271</v>
      </c>
      <c r="J392" s="337" t="s">
        <v>272</v>
      </c>
      <c r="K392" s="354"/>
      <c r="M392" s="37"/>
      <c r="N392" s="38"/>
    </row>
    <row r="393" spans="1:14" ht="24" x14ac:dyDescent="0.25">
      <c r="A393" s="951"/>
      <c r="B393" s="885"/>
      <c r="C393" s="887"/>
      <c r="D393" s="876"/>
      <c r="E393" s="785"/>
      <c r="F393" s="238" t="s">
        <v>146</v>
      </c>
      <c r="G393" s="237" t="s">
        <v>182</v>
      </c>
      <c r="H393" s="236" t="s">
        <v>145</v>
      </c>
      <c r="I393" s="236" t="s">
        <v>265</v>
      </c>
      <c r="J393" s="236" t="s">
        <v>180</v>
      </c>
      <c r="K393" s="354"/>
      <c r="M393" s="37"/>
      <c r="N393" s="38"/>
    </row>
    <row r="394" spans="1:14" ht="12.75" customHeight="1" x14ac:dyDescent="0.25">
      <c r="A394" s="951"/>
      <c r="B394" s="885"/>
      <c r="C394" s="887"/>
      <c r="D394" s="876"/>
      <c r="E394" s="838" t="str">
        <f>IF(AND(F394="",G394="",H394="",J394=""),IF(fio="","",0),"")</f>
        <v/>
      </c>
      <c r="F394" s="870"/>
      <c r="G394" s="870"/>
      <c r="H394" s="870"/>
      <c r="I394" s="870"/>
      <c r="J394" s="870"/>
      <c r="K394" s="354"/>
      <c r="L394" s="36">
        <f>SUM(E394:J395)</f>
        <v>0</v>
      </c>
      <c r="M394" s="37"/>
      <c r="N394" s="38">
        <v>330</v>
      </c>
    </row>
    <row r="395" spans="1:14" ht="12.75" customHeight="1" x14ac:dyDescent="0.25">
      <c r="A395" s="952"/>
      <c r="B395" s="918"/>
      <c r="C395" s="920"/>
      <c r="D395" s="877"/>
      <c r="E395" s="840"/>
      <c r="F395" s="871"/>
      <c r="G395" s="871"/>
      <c r="H395" s="871"/>
      <c r="I395" s="871"/>
      <c r="J395" s="871"/>
      <c r="K395" s="354"/>
      <c r="M395" s="37"/>
      <c r="N395" s="38"/>
    </row>
    <row r="396" spans="1:14" ht="14.25" customHeight="1" x14ac:dyDescent="0.25">
      <c r="A396" s="921" t="s">
        <v>168</v>
      </c>
      <c r="B396" s="828" t="s">
        <v>127</v>
      </c>
      <c r="C396" s="830"/>
      <c r="D396" s="941" t="s">
        <v>279</v>
      </c>
      <c r="E396" s="742" t="s">
        <v>128</v>
      </c>
      <c r="F396" s="743"/>
      <c r="G396" s="743"/>
      <c r="H396" s="743"/>
      <c r="I396" s="743"/>
      <c r="J396" s="744"/>
      <c r="K396" s="354"/>
      <c r="M396" s="37"/>
      <c r="N396" s="38"/>
    </row>
    <row r="397" spans="1:14" ht="12.75" customHeight="1" x14ac:dyDescent="0.25">
      <c r="A397" s="922"/>
      <c r="B397" s="831"/>
      <c r="C397" s="833"/>
      <c r="D397" s="942"/>
      <c r="E397" s="745" t="s">
        <v>136</v>
      </c>
      <c r="F397" s="746"/>
      <c r="G397" s="746"/>
      <c r="H397" s="746"/>
      <c r="I397" s="746"/>
      <c r="J397" s="747"/>
      <c r="K397" s="354"/>
      <c r="M397" s="37"/>
      <c r="N397" s="38"/>
    </row>
    <row r="398" spans="1:14" ht="12.75" customHeight="1" x14ac:dyDescent="0.25">
      <c r="A398" s="923"/>
      <c r="B398" s="834"/>
      <c r="C398" s="836"/>
      <c r="D398" s="943"/>
      <c r="E398" s="2">
        <v>0</v>
      </c>
      <c r="F398" s="11">
        <v>10</v>
      </c>
      <c r="G398" s="11">
        <v>20</v>
      </c>
      <c r="H398" s="11">
        <v>20</v>
      </c>
      <c r="I398" s="948" t="s">
        <v>280</v>
      </c>
      <c r="J398" s="949"/>
      <c r="K398" s="354"/>
      <c r="M398" s="37"/>
      <c r="N398" s="38"/>
    </row>
    <row r="399" spans="1:14" ht="92.25" customHeight="1" x14ac:dyDescent="0.25">
      <c r="A399" s="1000" t="s">
        <v>482</v>
      </c>
      <c r="B399" s="896" t="s">
        <v>6</v>
      </c>
      <c r="C399" s="977"/>
      <c r="D399" s="875" t="s">
        <v>275</v>
      </c>
      <c r="E399" s="1" t="s">
        <v>188</v>
      </c>
      <c r="F399" s="53" t="s">
        <v>470</v>
      </c>
      <c r="G399" s="53" t="s">
        <v>273</v>
      </c>
      <c r="H399" s="53" t="s">
        <v>274</v>
      </c>
      <c r="I399" s="953" t="s">
        <v>388</v>
      </c>
      <c r="J399" s="954"/>
      <c r="K399" s="354"/>
      <c r="M399" s="37"/>
      <c r="N399" s="38"/>
    </row>
    <row r="400" spans="1:14" ht="12.75" customHeight="1" x14ac:dyDescent="0.25">
      <c r="A400" s="1001"/>
      <c r="B400" s="978"/>
      <c r="C400" s="979"/>
      <c r="D400" s="876"/>
      <c r="E400" s="838" t="str">
        <f>IF(AND(F400="",G400="",H400="",I400=""),IF(fio="","",0),"")</f>
        <v/>
      </c>
      <c r="F400" s="868"/>
      <c r="G400" s="868"/>
      <c r="H400" s="868"/>
      <c r="I400" s="944"/>
      <c r="J400" s="945"/>
      <c r="K400" s="354"/>
      <c r="M400" s="37"/>
      <c r="N400" s="38"/>
    </row>
    <row r="401" spans="1:19" ht="12.75" customHeight="1" x14ac:dyDescent="0.25">
      <c r="A401" s="1002"/>
      <c r="B401" s="980"/>
      <c r="C401" s="981"/>
      <c r="D401" s="877"/>
      <c r="E401" s="840"/>
      <c r="F401" s="869"/>
      <c r="G401" s="869"/>
      <c r="H401" s="869"/>
      <c r="I401" s="946"/>
      <c r="J401" s="947"/>
      <c r="K401" s="354"/>
      <c r="L401" s="36">
        <f>SUM(E400:J401)</f>
        <v>0</v>
      </c>
      <c r="M401" s="37"/>
      <c r="N401" s="38">
        <f>SUM(E398:I398)</f>
        <v>50</v>
      </c>
    </row>
    <row r="402" spans="1:19" ht="14.25" customHeight="1" x14ac:dyDescent="0.25">
      <c r="A402" s="921" t="s">
        <v>168</v>
      </c>
      <c r="B402" s="828" t="s">
        <v>127</v>
      </c>
      <c r="C402" s="830"/>
      <c r="D402" s="941" t="s">
        <v>279</v>
      </c>
      <c r="E402" s="844" t="s">
        <v>128</v>
      </c>
      <c r="F402" s="845"/>
      <c r="G402" s="845"/>
      <c r="H402" s="845"/>
      <c r="I402" s="845"/>
      <c r="J402" s="846"/>
      <c r="K402" s="354"/>
      <c r="M402" s="37"/>
      <c r="N402" s="38"/>
    </row>
    <row r="403" spans="1:19" ht="12.75" customHeight="1" x14ac:dyDescent="0.25">
      <c r="A403" s="922"/>
      <c r="B403" s="831"/>
      <c r="C403" s="833"/>
      <c r="D403" s="942"/>
      <c r="E403" s="745" t="s">
        <v>137</v>
      </c>
      <c r="F403" s="746"/>
      <c r="G403" s="746"/>
      <c r="H403" s="746"/>
      <c r="I403" s="746"/>
      <c r="J403" s="747"/>
      <c r="K403" s="354"/>
      <c r="M403" s="37"/>
      <c r="N403" s="38"/>
      <c r="Q403" s="63"/>
    </row>
    <row r="404" spans="1:19" ht="12.75" customHeight="1" x14ac:dyDescent="0.25">
      <c r="A404" s="923"/>
      <c r="B404" s="834"/>
      <c r="C404" s="836"/>
      <c r="D404" s="943"/>
      <c r="E404" s="2">
        <v>0</v>
      </c>
      <c r="F404" s="823" t="s">
        <v>294</v>
      </c>
      <c r="G404" s="769"/>
      <c r="H404" s="823" t="s">
        <v>295</v>
      </c>
      <c r="I404" s="867"/>
      <c r="J404" s="769"/>
      <c r="K404" s="354"/>
      <c r="M404" s="37"/>
      <c r="N404" s="38"/>
      <c r="Q404" s="52"/>
    </row>
    <row r="405" spans="1:19" ht="79.5" customHeight="1" x14ac:dyDescent="0.25">
      <c r="A405" s="1000" t="s">
        <v>483</v>
      </c>
      <c r="B405" s="896" t="s">
        <v>7</v>
      </c>
      <c r="C405" s="977"/>
      <c r="D405" s="882" t="s">
        <v>514</v>
      </c>
      <c r="E405" s="13" t="s">
        <v>276</v>
      </c>
      <c r="F405" s="1005" t="s">
        <v>319</v>
      </c>
      <c r="G405" s="1006"/>
      <c r="H405" s="953" t="s">
        <v>293</v>
      </c>
      <c r="I405" s="961"/>
      <c r="J405" s="954"/>
      <c r="K405" s="354"/>
      <c r="M405" s="37"/>
      <c r="N405" s="38"/>
    </row>
    <row r="406" spans="1:19" ht="12.75" customHeight="1" x14ac:dyDescent="0.25">
      <c r="A406" s="1001"/>
      <c r="B406" s="978"/>
      <c r="C406" s="979"/>
      <c r="D406" s="883"/>
      <c r="E406" s="838" t="str">
        <f>IF(AND(F406="",H406=""),IF(fio="","",0),"")</f>
        <v/>
      </c>
      <c r="F406" s="944"/>
      <c r="G406" s="989"/>
      <c r="H406" s="944"/>
      <c r="I406" s="988"/>
      <c r="J406" s="989"/>
      <c r="K406" s="354"/>
      <c r="M406" s="37"/>
      <c r="N406" s="38"/>
    </row>
    <row r="407" spans="1:19" ht="12.75" customHeight="1" x14ac:dyDescent="0.25">
      <c r="A407" s="1002"/>
      <c r="B407" s="980"/>
      <c r="C407" s="981"/>
      <c r="D407" s="884"/>
      <c r="E407" s="840"/>
      <c r="F407" s="990"/>
      <c r="G407" s="992"/>
      <c r="H407" s="990"/>
      <c r="I407" s="991"/>
      <c r="J407" s="992"/>
      <c r="K407" s="354"/>
      <c r="L407" s="36">
        <f>MAX(E406:J407)</f>
        <v>0</v>
      </c>
      <c r="M407" s="37"/>
      <c r="N407" s="38">
        <v>500</v>
      </c>
    </row>
    <row r="408" spans="1:19" ht="1.5" customHeight="1" x14ac:dyDescent="0.25">
      <c r="A408" s="16"/>
      <c r="B408" s="125"/>
      <c r="C408" s="125"/>
      <c r="D408" s="54"/>
      <c r="E408" s="62"/>
      <c r="F408" s="108"/>
      <c r="G408" s="108"/>
      <c r="H408" s="108"/>
      <c r="I408" s="108"/>
      <c r="J408" s="54"/>
      <c r="K408" s="354"/>
      <c r="M408" s="44"/>
      <c r="N408" s="44"/>
    </row>
    <row r="409" spans="1:19" ht="14.25" customHeight="1" x14ac:dyDescent="0.25">
      <c r="A409" s="1055" t="s">
        <v>8</v>
      </c>
      <c r="B409" s="1003" t="s">
        <v>139</v>
      </c>
      <c r="C409" s="1003"/>
      <c r="D409" s="1003"/>
      <c r="E409" s="1003"/>
      <c r="F409" s="1003"/>
      <c r="G409" s="1003"/>
      <c r="H409" s="1003"/>
      <c r="I409" s="1003"/>
      <c r="J409" s="54"/>
      <c r="K409" s="354"/>
      <c r="M409" s="409"/>
      <c r="N409" s="384"/>
      <c r="O409" s="3"/>
      <c r="R409" s="418"/>
    </row>
    <row r="410" spans="1:19" ht="13.2" x14ac:dyDescent="0.25">
      <c r="A410" s="1055"/>
      <c r="B410" s="1004"/>
      <c r="C410" s="1004"/>
      <c r="D410" s="1004"/>
      <c r="E410" s="1004"/>
      <c r="F410" s="1004"/>
      <c r="G410" s="1004"/>
      <c r="H410" s="1004"/>
      <c r="I410" s="1004"/>
      <c r="J410" s="54"/>
      <c r="K410" s="354"/>
      <c r="M410" s="409"/>
      <c r="N410" s="384"/>
      <c r="O410" s="3"/>
      <c r="R410" s="418"/>
    </row>
    <row r="411" spans="1:19" ht="12.75" customHeight="1" x14ac:dyDescent="0.25">
      <c r="A411" s="921" t="s">
        <v>168</v>
      </c>
      <c r="B411" s="828" t="s">
        <v>127</v>
      </c>
      <c r="C411" s="829"/>
      <c r="D411" s="830"/>
      <c r="E411" s="844" t="s">
        <v>128</v>
      </c>
      <c r="F411" s="845"/>
      <c r="G411" s="845"/>
      <c r="H411" s="845"/>
      <c r="I411" s="845"/>
      <c r="J411" s="846"/>
      <c r="K411" s="354"/>
      <c r="M411" s="408"/>
      <c r="N411" s="409"/>
      <c r="O411" s="384"/>
      <c r="S411" s="418"/>
    </row>
    <row r="412" spans="1:19" ht="14.25" customHeight="1" x14ac:dyDescent="0.25">
      <c r="A412" s="922"/>
      <c r="B412" s="831"/>
      <c r="C412" s="832"/>
      <c r="D412" s="833"/>
      <c r="E412" s="1057" t="s">
        <v>136</v>
      </c>
      <c r="F412" s="1058"/>
      <c r="G412" s="1058"/>
      <c r="H412" s="1058"/>
      <c r="I412" s="1058"/>
      <c r="J412" s="1059"/>
      <c r="K412" s="354"/>
      <c r="L412" s="398"/>
      <c r="M412" s="408"/>
      <c r="N412" s="409"/>
      <c r="O412" s="384"/>
      <c r="S412" s="418"/>
    </row>
    <row r="413" spans="1:19" ht="14.25" customHeight="1" x14ac:dyDescent="0.25">
      <c r="A413" s="923"/>
      <c r="B413" s="834"/>
      <c r="C413" s="835"/>
      <c r="D413" s="836"/>
      <c r="E413" s="18">
        <v>0</v>
      </c>
      <c r="F413" s="18">
        <v>50</v>
      </c>
      <c r="G413" s="18">
        <v>100</v>
      </c>
      <c r="H413" s="18">
        <v>200</v>
      </c>
      <c r="I413" s="18">
        <v>300</v>
      </c>
      <c r="J413" s="18">
        <v>150</v>
      </c>
      <c r="K413" s="354"/>
      <c r="L413" s="398"/>
      <c r="M413" s="408"/>
      <c r="N413" s="409"/>
      <c r="O413" s="384"/>
      <c r="S413" s="418"/>
    </row>
    <row r="414" spans="1:19" ht="51.75" customHeight="1" x14ac:dyDescent="0.25">
      <c r="A414" s="783" t="s">
        <v>9</v>
      </c>
      <c r="B414" s="896" t="s">
        <v>10</v>
      </c>
      <c r="C414" s="958"/>
      <c r="D414" s="897"/>
      <c r="E414" s="783" t="s">
        <v>140</v>
      </c>
      <c r="F414" s="783" t="s">
        <v>11</v>
      </c>
      <c r="G414" s="783" t="s">
        <v>571</v>
      </c>
      <c r="H414" s="783" t="s">
        <v>135</v>
      </c>
      <c r="I414" s="783" t="s">
        <v>141</v>
      </c>
      <c r="J414" s="783" t="s">
        <v>12</v>
      </c>
      <c r="K414" s="354"/>
      <c r="L414" s="398"/>
      <c r="M414" s="408"/>
      <c r="N414" s="409"/>
      <c r="O414" s="384"/>
      <c r="S414" s="418"/>
    </row>
    <row r="415" spans="1:19" ht="8.25" customHeight="1" x14ac:dyDescent="0.25">
      <c r="A415" s="784"/>
      <c r="B415" s="898"/>
      <c r="C415" s="1085"/>
      <c r="D415" s="899"/>
      <c r="E415" s="784"/>
      <c r="F415" s="784"/>
      <c r="G415" s="784"/>
      <c r="H415" s="784"/>
      <c r="I415" s="784"/>
      <c r="J415" s="784"/>
      <c r="K415" s="354"/>
      <c r="L415" s="398"/>
      <c r="M415" s="408"/>
      <c r="N415" s="409"/>
      <c r="O415" s="384"/>
      <c r="S415" s="418"/>
    </row>
    <row r="416" spans="1:19" ht="17.25" customHeight="1" x14ac:dyDescent="0.25">
      <c r="A416" s="784"/>
      <c r="B416" s="885" t="s">
        <v>485</v>
      </c>
      <c r="C416" s="886"/>
      <c r="D416" s="887"/>
      <c r="E416" s="784"/>
      <c r="F416" s="784"/>
      <c r="G416" s="784"/>
      <c r="H416" s="784"/>
      <c r="I416" s="784"/>
      <c r="J416" s="784"/>
      <c r="K416" s="354"/>
      <c r="L416" s="398"/>
      <c r="M416" s="408"/>
      <c r="N416" s="409"/>
      <c r="O416" s="384"/>
      <c r="S416" s="418"/>
    </row>
    <row r="417" spans="1:19" ht="13.5" customHeight="1" x14ac:dyDescent="0.25">
      <c r="A417" s="784"/>
      <c r="B417" s="872" t="s">
        <v>13</v>
      </c>
      <c r="C417" s="873"/>
      <c r="D417" s="874"/>
      <c r="E417" s="784"/>
      <c r="F417" s="784"/>
      <c r="G417" s="784"/>
      <c r="H417" s="784"/>
      <c r="I417" s="784"/>
      <c r="J417" s="784"/>
      <c r="K417" s="354"/>
      <c r="L417" s="398"/>
      <c r="M417" s="408"/>
      <c r="N417" s="409"/>
      <c r="O417" s="384"/>
      <c r="S417" s="418"/>
    </row>
    <row r="418" spans="1:19" ht="6" customHeight="1" x14ac:dyDescent="0.25">
      <c r="A418" s="784"/>
      <c r="B418" s="885" t="s">
        <v>513</v>
      </c>
      <c r="C418" s="886"/>
      <c r="D418" s="887"/>
      <c r="E418" s="785"/>
      <c r="F418" s="785"/>
      <c r="G418" s="785"/>
      <c r="H418" s="785"/>
      <c r="I418" s="785"/>
      <c r="J418" s="785"/>
      <c r="K418" s="354"/>
      <c r="L418" s="398"/>
      <c r="M418" s="408"/>
      <c r="N418" s="409"/>
      <c r="O418" s="384"/>
      <c r="S418" s="418"/>
    </row>
    <row r="419" spans="1:19" ht="14.25" customHeight="1" x14ac:dyDescent="0.25">
      <c r="A419" s="784"/>
      <c r="B419" s="885"/>
      <c r="C419" s="886"/>
      <c r="D419" s="887"/>
      <c r="E419" s="838" t="str">
        <f>IF(AND(F419="",G419="",H419="",I419="",J419=""),IF(fio="","",0),"")</f>
        <v/>
      </c>
      <c r="F419" s="865"/>
      <c r="G419" s="865"/>
      <c r="H419" s="865"/>
      <c r="I419" s="865"/>
      <c r="J419" s="865"/>
      <c r="K419" s="354"/>
      <c r="L419" s="398">
        <f>SUM(E419:J420)</f>
        <v>0</v>
      </c>
      <c r="M419" s="408">
        <v>800</v>
      </c>
      <c r="N419" s="409"/>
      <c r="O419" s="384"/>
      <c r="S419" s="418"/>
    </row>
    <row r="420" spans="1:19" ht="12.75" customHeight="1" x14ac:dyDescent="0.25">
      <c r="A420" s="785"/>
      <c r="B420" s="918"/>
      <c r="C420" s="919"/>
      <c r="D420" s="920"/>
      <c r="E420" s="840"/>
      <c r="F420" s="866"/>
      <c r="G420" s="866"/>
      <c r="H420" s="866"/>
      <c r="I420" s="866"/>
      <c r="J420" s="866"/>
      <c r="K420" s="354"/>
      <c r="L420" s="398"/>
      <c r="M420" s="419"/>
      <c r="N420" s="420"/>
      <c r="O420" s="384"/>
      <c r="S420" s="418"/>
    </row>
    <row r="421" spans="1:19" ht="48.75" customHeight="1" x14ac:dyDescent="0.25">
      <c r="A421" s="16"/>
      <c r="B421" s="124"/>
      <c r="C421" s="124"/>
      <c r="D421" s="54"/>
      <c r="E421" s="62"/>
      <c r="F421" s="108"/>
      <c r="G421" s="91"/>
      <c r="H421" s="108"/>
      <c r="I421" s="108"/>
      <c r="J421" s="108"/>
      <c r="K421" s="354"/>
      <c r="M421" s="44"/>
      <c r="N421" s="44"/>
    </row>
    <row r="422" spans="1:19" ht="13.2" x14ac:dyDescent="0.25">
      <c r="A422" s="16"/>
      <c r="B422" s="787" t="s">
        <v>143</v>
      </c>
      <c r="C422" s="787"/>
      <c r="D422" s="54"/>
      <c r="E422" s="54"/>
      <c r="F422" s="54"/>
      <c r="G422" s="54"/>
      <c r="H422" s="54"/>
      <c r="I422" s="54"/>
      <c r="J422" s="54"/>
      <c r="K422" s="354"/>
      <c r="M422" s="44"/>
      <c r="N422" s="44"/>
    </row>
    <row r="423" spans="1:19" ht="6.75" customHeight="1" x14ac:dyDescent="0.25">
      <c r="A423" s="1055" t="s">
        <v>14</v>
      </c>
      <c r="B423" s="1060" t="s">
        <v>142</v>
      </c>
      <c r="C423" s="1060"/>
      <c r="D423" s="1060"/>
      <c r="E423" s="1060"/>
      <c r="F423" s="1060"/>
      <c r="G423" s="1060"/>
      <c r="H423" s="1060"/>
      <c r="I423" s="1060"/>
      <c r="J423" s="1060"/>
      <c r="K423" s="354"/>
      <c r="L423" s="398"/>
      <c r="M423" s="421"/>
      <c r="N423" s="384"/>
      <c r="O423" s="3"/>
      <c r="R423" s="418"/>
    </row>
    <row r="424" spans="1:19" ht="12.75" customHeight="1" x14ac:dyDescent="0.25">
      <c r="A424" s="1056"/>
      <c r="B424" s="1061"/>
      <c r="C424" s="1061"/>
      <c r="D424" s="1061"/>
      <c r="E424" s="1061"/>
      <c r="F424" s="1061"/>
      <c r="G424" s="1061"/>
      <c r="H424" s="1061"/>
      <c r="I424" s="1061"/>
      <c r="J424" s="1061"/>
      <c r="K424" s="354"/>
      <c r="L424" s="398"/>
      <c r="M424" s="399"/>
      <c r="N424" s="384"/>
      <c r="O424" s="3"/>
      <c r="R424" s="418"/>
    </row>
    <row r="425" spans="1:19" ht="14.25" customHeight="1" x14ac:dyDescent="0.25">
      <c r="A425" s="921" t="s">
        <v>168</v>
      </c>
      <c r="B425" s="828" t="s">
        <v>127</v>
      </c>
      <c r="C425" s="829"/>
      <c r="D425" s="829"/>
      <c r="E425" s="830"/>
      <c r="F425" s="844" t="s">
        <v>128</v>
      </c>
      <c r="G425" s="845"/>
      <c r="H425" s="845"/>
      <c r="I425" s="845"/>
      <c r="J425" s="846"/>
      <c r="K425" s="354"/>
      <c r="L425" s="3"/>
      <c r="M425" s="3"/>
      <c r="N425" s="3"/>
      <c r="O425" s="3"/>
      <c r="R425" s="418"/>
    </row>
    <row r="426" spans="1:19" ht="12.75" customHeight="1" x14ac:dyDescent="0.25">
      <c r="A426" s="922"/>
      <c r="B426" s="831"/>
      <c r="C426" s="832"/>
      <c r="D426" s="832"/>
      <c r="E426" s="833"/>
      <c r="F426" s="1057" t="s">
        <v>137</v>
      </c>
      <c r="G426" s="1058"/>
      <c r="H426" s="1058"/>
      <c r="I426" s="1058"/>
      <c r="J426" s="1059"/>
      <c r="K426" s="354"/>
      <c r="L426" s="3"/>
      <c r="M426" s="3"/>
      <c r="N426" s="3"/>
      <c r="O426" s="3"/>
      <c r="R426" s="418"/>
    </row>
    <row r="427" spans="1:19" ht="12.75" customHeight="1" x14ac:dyDescent="0.25">
      <c r="A427" s="923"/>
      <c r="B427" s="834"/>
      <c r="C427" s="835"/>
      <c r="D427" s="835"/>
      <c r="E427" s="836"/>
      <c r="F427" s="2">
        <v>0</v>
      </c>
      <c r="G427" s="2">
        <v>100</v>
      </c>
      <c r="H427" s="2">
        <v>200</v>
      </c>
      <c r="I427" s="823">
        <v>300</v>
      </c>
      <c r="J427" s="769"/>
      <c r="K427" s="354"/>
      <c r="L427" s="398"/>
      <c r="M427" s="399"/>
      <c r="N427" s="399"/>
      <c r="O427" s="384"/>
      <c r="S427" s="418"/>
    </row>
    <row r="428" spans="1:19" ht="15" customHeight="1" x14ac:dyDescent="0.25">
      <c r="A428" s="998" t="s">
        <v>15</v>
      </c>
      <c r="B428" s="896" t="s">
        <v>567</v>
      </c>
      <c r="C428" s="958"/>
      <c r="D428" s="958"/>
      <c r="E428" s="897"/>
      <c r="F428" s="783" t="s">
        <v>150</v>
      </c>
      <c r="G428" s="783" t="s">
        <v>343</v>
      </c>
      <c r="H428" s="783" t="s">
        <v>342</v>
      </c>
      <c r="I428" s="900" t="s">
        <v>296</v>
      </c>
      <c r="J428" s="901"/>
      <c r="K428" s="354"/>
      <c r="L428" s="398"/>
      <c r="M428" s="399"/>
      <c r="N428" s="399"/>
      <c r="O428" s="384"/>
      <c r="S428" s="418"/>
    </row>
    <row r="429" spans="1:19" ht="12.75" customHeight="1" x14ac:dyDescent="0.25">
      <c r="A429" s="998"/>
      <c r="B429" s="1179" t="s">
        <v>16</v>
      </c>
      <c r="C429" s="1180"/>
      <c r="D429" s="1180"/>
      <c r="E429" s="1181"/>
      <c r="F429" s="784"/>
      <c r="G429" s="784"/>
      <c r="H429" s="784"/>
      <c r="I429" s="902" t="s">
        <v>512</v>
      </c>
      <c r="J429" s="903"/>
      <c r="K429" s="354"/>
      <c r="L429" s="398"/>
      <c r="M429" s="399"/>
      <c r="N429" s="399"/>
      <c r="O429" s="384"/>
      <c r="S429" s="418"/>
    </row>
    <row r="430" spans="1:19" ht="12.75" customHeight="1" x14ac:dyDescent="0.25">
      <c r="A430" s="998"/>
      <c r="B430" s="1179"/>
      <c r="C430" s="1180"/>
      <c r="D430" s="1180"/>
      <c r="E430" s="1181"/>
      <c r="F430" s="784"/>
      <c r="G430" s="784"/>
      <c r="H430" s="784"/>
      <c r="I430" s="902"/>
      <c r="J430" s="903"/>
      <c r="K430" s="354"/>
      <c r="L430" s="398"/>
      <c r="M430" s="399"/>
      <c r="N430" s="399"/>
      <c r="O430" s="384"/>
      <c r="S430" s="418"/>
    </row>
    <row r="431" spans="1:19" ht="6.75" customHeight="1" x14ac:dyDescent="0.25">
      <c r="A431" s="998"/>
      <c r="B431" s="1179"/>
      <c r="C431" s="1180"/>
      <c r="D431" s="1180"/>
      <c r="E431" s="1181"/>
      <c r="F431" s="784"/>
      <c r="G431" s="784"/>
      <c r="H431" s="784"/>
      <c r="I431" s="902"/>
      <c r="J431" s="903"/>
      <c r="K431" s="354"/>
      <c r="L431" s="398"/>
      <c r="M431" s="399"/>
      <c r="N431" s="399"/>
      <c r="O431" s="384"/>
      <c r="S431" s="418"/>
    </row>
    <row r="432" spans="1:19" ht="12.75" customHeight="1" x14ac:dyDescent="0.25">
      <c r="A432" s="998"/>
      <c r="B432" s="885" t="s">
        <v>17</v>
      </c>
      <c r="C432" s="886"/>
      <c r="D432" s="886"/>
      <c r="E432" s="887"/>
      <c r="F432" s="784"/>
      <c r="G432" s="784"/>
      <c r="H432" s="784"/>
      <c r="I432" s="902"/>
      <c r="J432" s="903"/>
      <c r="K432" s="354"/>
      <c r="L432" s="398"/>
      <c r="M432" s="399"/>
      <c r="N432" s="399"/>
      <c r="O432" s="384"/>
      <c r="S432" s="418"/>
    </row>
    <row r="433" spans="1:19" ht="15" customHeight="1" x14ac:dyDescent="0.25">
      <c r="A433" s="998"/>
      <c r="B433" s="872" t="s">
        <v>18</v>
      </c>
      <c r="C433" s="873"/>
      <c r="D433" s="873"/>
      <c r="E433" s="874"/>
      <c r="F433" s="784"/>
      <c r="G433" s="784"/>
      <c r="H433" s="784"/>
      <c r="I433" s="902"/>
      <c r="J433" s="903"/>
      <c r="K433" s="354"/>
      <c r="L433" s="398"/>
      <c r="M433" s="399"/>
      <c r="N433" s="399"/>
      <c r="O433" s="384"/>
      <c r="S433" s="418"/>
    </row>
    <row r="434" spans="1:19" ht="20.25" customHeight="1" x14ac:dyDescent="0.25">
      <c r="A434" s="998"/>
      <c r="B434" s="885" t="s">
        <v>19</v>
      </c>
      <c r="C434" s="886"/>
      <c r="D434" s="886"/>
      <c r="E434" s="887"/>
      <c r="F434" s="785"/>
      <c r="G434" s="785"/>
      <c r="H434" s="785"/>
      <c r="I434" s="904"/>
      <c r="J434" s="905"/>
      <c r="K434" s="354"/>
      <c r="L434" s="398"/>
      <c r="M434" s="399"/>
      <c r="N434" s="399"/>
      <c r="O434" s="384"/>
      <c r="S434" s="418"/>
    </row>
    <row r="435" spans="1:19" ht="12" customHeight="1" x14ac:dyDescent="0.25">
      <c r="A435" s="998"/>
      <c r="B435" s="885"/>
      <c r="C435" s="886"/>
      <c r="D435" s="886"/>
      <c r="E435" s="887"/>
      <c r="F435" s="839" t="str">
        <f>IF(AND(G435="",H435="",I435=""),IF(fio="","",0),"")</f>
        <v/>
      </c>
      <c r="G435" s="778"/>
      <c r="H435" s="778"/>
      <c r="I435" s="967"/>
      <c r="J435" s="968"/>
      <c r="K435" s="354"/>
      <c r="L435" s="398">
        <f>MAX(F435:J436)</f>
        <v>0</v>
      </c>
      <c r="M435" s="406">
        <v>300</v>
      </c>
      <c r="N435" s="407"/>
      <c r="O435" s="384"/>
      <c r="S435" s="418"/>
    </row>
    <row r="436" spans="1:19" ht="12" customHeight="1" x14ac:dyDescent="0.25">
      <c r="A436" s="999"/>
      <c r="B436" s="918"/>
      <c r="C436" s="919"/>
      <c r="D436" s="919"/>
      <c r="E436" s="920"/>
      <c r="F436" s="840"/>
      <c r="G436" s="779"/>
      <c r="H436" s="779"/>
      <c r="I436" s="969"/>
      <c r="J436" s="970"/>
      <c r="K436" s="354"/>
      <c r="L436" s="398"/>
      <c r="M436" s="408"/>
      <c r="N436" s="409"/>
      <c r="O436" s="422"/>
      <c r="S436" s="418"/>
    </row>
    <row r="437" spans="1:19" s="390" customFormat="1" ht="15" customHeight="1" x14ac:dyDescent="0.25">
      <c r="A437" s="783" t="s">
        <v>20</v>
      </c>
      <c r="B437" s="1182" t="s">
        <v>496</v>
      </c>
      <c r="C437" s="1183"/>
      <c r="D437" s="1183"/>
      <c r="E437" s="1184"/>
      <c r="F437" s="841" t="s">
        <v>185</v>
      </c>
      <c r="G437" s="841" t="s">
        <v>568</v>
      </c>
      <c r="H437" s="841" t="s">
        <v>569</v>
      </c>
      <c r="I437" s="900" t="s">
        <v>494</v>
      </c>
      <c r="J437" s="901"/>
      <c r="K437" s="354"/>
      <c r="L437" s="398"/>
      <c r="M437" s="408"/>
      <c r="N437" s="409"/>
      <c r="O437" s="384"/>
      <c r="S437" s="423"/>
    </row>
    <row r="438" spans="1:19" s="390" customFormat="1" ht="15" customHeight="1" x14ac:dyDescent="0.25">
      <c r="A438" s="784"/>
      <c r="B438" s="1185"/>
      <c r="C438" s="1186"/>
      <c r="D438" s="1186"/>
      <c r="E438" s="1187"/>
      <c r="F438" s="842"/>
      <c r="G438" s="842"/>
      <c r="H438" s="842"/>
      <c r="I438" s="962"/>
      <c r="J438" s="963"/>
      <c r="K438" s="354"/>
      <c r="L438" s="398"/>
      <c r="M438" s="408"/>
      <c r="N438" s="409"/>
      <c r="O438" s="384"/>
      <c r="S438" s="423"/>
    </row>
    <row r="439" spans="1:19" s="390" customFormat="1" ht="15" customHeight="1" x14ac:dyDescent="0.25">
      <c r="A439" s="784"/>
      <c r="B439" s="1185"/>
      <c r="C439" s="1186"/>
      <c r="D439" s="1186"/>
      <c r="E439" s="1187"/>
      <c r="F439" s="842"/>
      <c r="G439" s="842"/>
      <c r="H439" s="842"/>
      <c r="I439" s="962"/>
      <c r="J439" s="963"/>
      <c r="K439" s="354"/>
      <c r="L439" s="398"/>
      <c r="M439" s="408"/>
      <c r="N439" s="409"/>
      <c r="O439" s="384"/>
      <c r="S439" s="423"/>
    </row>
    <row r="440" spans="1:19" s="390" customFormat="1" ht="1.5" customHeight="1" x14ac:dyDescent="0.25">
      <c r="A440" s="784"/>
      <c r="B440" s="1185"/>
      <c r="C440" s="1186"/>
      <c r="D440" s="1186"/>
      <c r="E440" s="1187"/>
      <c r="F440" s="842"/>
      <c r="G440" s="842"/>
      <c r="H440" s="842"/>
      <c r="I440" s="962"/>
      <c r="J440" s="963"/>
      <c r="K440" s="354"/>
      <c r="L440" s="398"/>
      <c r="M440" s="408"/>
      <c r="N440" s="409"/>
      <c r="O440" s="384"/>
      <c r="S440" s="423"/>
    </row>
    <row r="441" spans="1:19" s="390" customFormat="1" ht="1.5" customHeight="1" x14ac:dyDescent="0.25">
      <c r="A441" s="784"/>
      <c r="B441" s="1185"/>
      <c r="C441" s="1186"/>
      <c r="D441" s="1186"/>
      <c r="E441" s="1187"/>
      <c r="F441" s="842"/>
      <c r="G441" s="842"/>
      <c r="H441" s="842"/>
      <c r="I441" s="962"/>
      <c r="J441" s="963"/>
      <c r="K441" s="354"/>
      <c r="L441" s="398"/>
      <c r="M441" s="408"/>
      <c r="N441" s="409"/>
      <c r="O441" s="384"/>
      <c r="S441" s="423"/>
    </row>
    <row r="442" spans="1:19" s="390" customFormat="1" ht="12.75" customHeight="1" x14ac:dyDescent="0.25">
      <c r="A442" s="784"/>
      <c r="B442" s="1173" t="s">
        <v>17</v>
      </c>
      <c r="C442" s="1174"/>
      <c r="D442" s="1174"/>
      <c r="E442" s="1175"/>
      <c r="F442" s="842"/>
      <c r="G442" s="842"/>
      <c r="H442" s="842"/>
      <c r="I442" s="962"/>
      <c r="J442" s="963"/>
      <c r="K442" s="354"/>
      <c r="L442" s="398"/>
      <c r="M442" s="408"/>
      <c r="N442" s="409"/>
      <c r="O442" s="384"/>
      <c r="S442" s="423"/>
    </row>
    <row r="443" spans="1:19" s="390" customFormat="1" ht="12.75" customHeight="1" x14ac:dyDescent="0.25">
      <c r="A443" s="784"/>
      <c r="B443" s="955" t="s">
        <v>18</v>
      </c>
      <c r="C443" s="956"/>
      <c r="D443" s="956"/>
      <c r="E443" s="957"/>
      <c r="F443" s="842"/>
      <c r="G443" s="842"/>
      <c r="H443" s="842"/>
      <c r="I443" s="962"/>
      <c r="J443" s="963"/>
      <c r="K443" s="354"/>
      <c r="L443" s="398"/>
      <c r="M443" s="408"/>
      <c r="N443" s="409"/>
      <c r="O443" s="384"/>
      <c r="S443" s="423"/>
    </row>
    <row r="444" spans="1:19" s="390" customFormat="1" ht="14.25" customHeight="1" x14ac:dyDescent="0.25">
      <c r="A444" s="784"/>
      <c r="B444" s="1173" t="s">
        <v>501</v>
      </c>
      <c r="C444" s="1174"/>
      <c r="D444" s="1174"/>
      <c r="E444" s="1175"/>
      <c r="F444" s="842"/>
      <c r="G444" s="842"/>
      <c r="H444" s="842"/>
      <c r="I444" s="962"/>
      <c r="J444" s="963"/>
      <c r="K444" s="354"/>
      <c r="L444" s="398"/>
      <c r="M444" s="408"/>
      <c r="N444" s="409"/>
      <c r="O444" s="384"/>
      <c r="S444" s="423"/>
    </row>
    <row r="445" spans="1:19" s="390" customFormat="1" ht="14.25" customHeight="1" x14ac:dyDescent="0.25">
      <c r="A445" s="784"/>
      <c r="B445" s="1173"/>
      <c r="C445" s="1174"/>
      <c r="D445" s="1174"/>
      <c r="E445" s="1175"/>
      <c r="F445" s="843"/>
      <c r="G445" s="843"/>
      <c r="H445" s="843"/>
      <c r="I445" s="964"/>
      <c r="J445" s="965"/>
      <c r="K445" s="354"/>
      <c r="L445" s="398"/>
      <c r="M445" s="408"/>
      <c r="N445" s="409"/>
      <c r="O445" s="384"/>
      <c r="S445" s="423"/>
    </row>
    <row r="446" spans="1:19" ht="14.25" customHeight="1" x14ac:dyDescent="0.25">
      <c r="A446" s="784"/>
      <c r="B446" s="1173"/>
      <c r="C446" s="1174"/>
      <c r="D446" s="1174"/>
      <c r="E446" s="1175"/>
      <c r="F446" s="838" t="str">
        <f>IF(AND(G446="",H446="",I446=""),IF(fio="","",0),"")</f>
        <v/>
      </c>
      <c r="G446" s="868"/>
      <c r="H446" s="868"/>
      <c r="I446" s="944"/>
      <c r="J446" s="945"/>
      <c r="K446" s="354"/>
      <c r="L446" s="398">
        <f>MAX(F446:J447)</f>
        <v>0</v>
      </c>
      <c r="M446" s="408"/>
      <c r="N446" s="409">
        <v>300</v>
      </c>
      <c r="O446" s="384"/>
      <c r="S446" s="418"/>
    </row>
    <row r="447" spans="1:19" ht="12.75" customHeight="1" x14ac:dyDescent="0.25">
      <c r="A447" s="785"/>
      <c r="B447" s="1176"/>
      <c r="C447" s="1177"/>
      <c r="D447" s="1177"/>
      <c r="E447" s="1178"/>
      <c r="F447" s="840"/>
      <c r="G447" s="971"/>
      <c r="H447" s="971"/>
      <c r="I447" s="946"/>
      <c r="J447" s="947"/>
      <c r="K447" s="354"/>
      <c r="L447" s="398"/>
      <c r="M447" s="408"/>
      <c r="N447" s="409"/>
      <c r="O447" s="384"/>
      <c r="S447" s="418"/>
    </row>
    <row r="448" spans="1:19" ht="15" customHeight="1" x14ac:dyDescent="0.25">
      <c r="A448" s="783" t="s">
        <v>21</v>
      </c>
      <c r="B448" s="896" t="s">
        <v>22</v>
      </c>
      <c r="C448" s="958"/>
      <c r="D448" s="958"/>
      <c r="E448" s="897"/>
      <c r="F448" s="783" t="s">
        <v>186</v>
      </c>
      <c r="G448" s="783" t="s">
        <v>495</v>
      </c>
      <c r="H448" s="783" t="s">
        <v>23</v>
      </c>
      <c r="I448" s="900" t="s">
        <v>570</v>
      </c>
      <c r="J448" s="901"/>
      <c r="K448" s="354"/>
      <c r="L448" s="398"/>
      <c r="M448" s="408"/>
      <c r="N448" s="409"/>
      <c r="O448" s="384"/>
      <c r="S448" s="418"/>
    </row>
    <row r="449" spans="1:25" x14ac:dyDescent="0.25">
      <c r="A449" s="784"/>
      <c r="B449" s="345"/>
      <c r="C449" s="55"/>
      <c r="D449" s="55"/>
      <c r="E449" s="55"/>
      <c r="F449" s="784"/>
      <c r="G449" s="784"/>
      <c r="H449" s="784"/>
      <c r="I449" s="962"/>
      <c r="J449" s="963"/>
      <c r="K449" s="354"/>
      <c r="L449" s="398"/>
      <c r="M449" s="408"/>
      <c r="N449" s="409"/>
      <c r="O449" s="384"/>
      <c r="S449" s="418"/>
    </row>
    <row r="450" spans="1:25" ht="12.75" customHeight="1" x14ac:dyDescent="0.25">
      <c r="A450" s="784"/>
      <c r="B450" s="885" t="s">
        <v>17</v>
      </c>
      <c r="C450" s="886"/>
      <c r="D450" s="886"/>
      <c r="E450" s="887"/>
      <c r="F450" s="784"/>
      <c r="G450" s="784"/>
      <c r="H450" s="784"/>
      <c r="I450" s="962"/>
      <c r="J450" s="963"/>
      <c r="K450" s="354"/>
      <c r="L450" s="398"/>
      <c r="M450" s="408"/>
      <c r="N450" s="409"/>
      <c r="O450" s="384"/>
      <c r="S450" s="418"/>
    </row>
    <row r="451" spans="1:25" ht="13.5" customHeight="1" x14ac:dyDescent="0.25">
      <c r="A451" s="784"/>
      <c r="B451" s="872" t="s">
        <v>18</v>
      </c>
      <c r="C451" s="873"/>
      <c r="D451" s="873"/>
      <c r="E451" s="874"/>
      <c r="F451" s="785"/>
      <c r="G451" s="785"/>
      <c r="H451" s="785"/>
      <c r="I451" s="964"/>
      <c r="J451" s="965"/>
      <c r="K451" s="354"/>
      <c r="L451" s="398"/>
      <c r="M451" s="408"/>
      <c r="N451" s="409"/>
      <c r="O451" s="384"/>
      <c r="S451" s="418"/>
    </row>
    <row r="452" spans="1:25" ht="15" customHeight="1" x14ac:dyDescent="0.25">
      <c r="A452" s="784"/>
      <c r="B452" s="885" t="s">
        <v>24</v>
      </c>
      <c r="C452" s="886"/>
      <c r="D452" s="886"/>
      <c r="E452" s="887"/>
      <c r="F452" s="838" t="str">
        <f>IF(AND(G452="",H452="",I452=""),IF(fio="","",0),"")</f>
        <v/>
      </c>
      <c r="G452" s="868"/>
      <c r="H452" s="868"/>
      <c r="I452" s="944"/>
      <c r="J452" s="945"/>
      <c r="K452" s="354"/>
      <c r="L452" s="398">
        <f>MAX(F452:I453)</f>
        <v>0</v>
      </c>
      <c r="M452" s="408"/>
      <c r="N452" s="409">
        <v>300</v>
      </c>
      <c r="O452" s="384"/>
      <c r="S452" s="418"/>
    </row>
    <row r="453" spans="1:25" ht="12.75" customHeight="1" x14ac:dyDescent="0.25">
      <c r="A453" s="785"/>
      <c r="B453" s="918"/>
      <c r="C453" s="919"/>
      <c r="D453" s="919"/>
      <c r="E453" s="920"/>
      <c r="F453" s="840"/>
      <c r="G453" s="966"/>
      <c r="H453" s="966"/>
      <c r="I453" s="946"/>
      <c r="J453" s="947"/>
      <c r="K453" s="354"/>
      <c r="L453" s="398"/>
      <c r="M453" s="419"/>
      <c r="N453" s="420"/>
      <c r="O453" s="384"/>
      <c r="S453" s="418"/>
    </row>
    <row r="454" spans="1:25" x14ac:dyDescent="0.25">
      <c r="A454" s="76"/>
      <c r="B454" s="124"/>
      <c r="C454" s="124"/>
      <c r="D454" s="124"/>
      <c r="E454" s="55"/>
      <c r="F454" s="55"/>
      <c r="G454" s="55"/>
      <c r="H454" s="55"/>
      <c r="I454" s="55"/>
      <c r="J454" s="55"/>
      <c r="K454" s="354"/>
    </row>
    <row r="455" spans="1:25" x14ac:dyDescent="0.25">
      <c r="A455" s="76"/>
      <c r="B455" s="787" t="s">
        <v>143</v>
      </c>
      <c r="C455" s="787"/>
      <c r="D455" s="126"/>
      <c r="E455" s="75"/>
      <c r="F455" s="75"/>
      <c r="G455" s="75"/>
      <c r="H455" s="75"/>
      <c r="I455" s="75"/>
      <c r="J455" s="75"/>
      <c r="K455" s="354"/>
    </row>
    <row r="456" spans="1:25" x14ac:dyDescent="0.25">
      <c r="A456" s="76"/>
      <c r="B456" s="125"/>
      <c r="C456" s="125"/>
      <c r="D456" s="126"/>
      <c r="E456" s="75"/>
      <c r="F456" s="75"/>
      <c r="G456" s="75"/>
      <c r="H456" s="75"/>
      <c r="I456" s="75"/>
      <c r="J456" s="75"/>
      <c r="K456" s="354"/>
    </row>
    <row r="457" spans="1:25" s="20" customFormat="1" x14ac:dyDescent="0.25">
      <c r="A457" s="22"/>
      <c r="B457" s="127"/>
      <c r="C457" s="127"/>
      <c r="D457" s="19"/>
      <c r="E457" s="112"/>
      <c r="F457" s="112"/>
      <c r="G457" s="112"/>
      <c r="H457" s="112"/>
      <c r="I457" s="112"/>
      <c r="J457" s="112"/>
      <c r="K457" s="354"/>
      <c r="Q457" s="24"/>
      <c r="R457" s="24"/>
      <c r="S457" s="24"/>
      <c r="T457" s="24"/>
    </row>
    <row r="458" spans="1:25" s="24" customFormat="1" x14ac:dyDescent="0.25">
      <c r="A458" s="22"/>
      <c r="B458" s="128"/>
      <c r="C458" s="128"/>
      <c r="D458" s="128"/>
      <c r="E458" s="21"/>
      <c r="F458" s="21"/>
      <c r="G458" s="21"/>
      <c r="H458" s="21"/>
      <c r="I458" s="21"/>
      <c r="J458" s="21"/>
      <c r="K458" s="354"/>
      <c r="Q458" s="101"/>
      <c r="R458" s="60"/>
      <c r="S458" s="60"/>
      <c r="T458" s="23"/>
      <c r="U458" s="23"/>
      <c r="V458" s="23"/>
      <c r="W458" s="23"/>
      <c r="X458" s="23"/>
      <c r="Y458" s="23"/>
    </row>
    <row r="459" spans="1:25" s="131" customFormat="1" ht="15.75" customHeight="1" x14ac:dyDescent="0.25">
      <c r="A459" s="451"/>
      <c r="B459" s="823" t="s">
        <v>399</v>
      </c>
      <c r="C459" s="867"/>
      <c r="D459" s="867"/>
      <c r="E459" s="769"/>
      <c r="F459" s="823" t="s">
        <v>400</v>
      </c>
      <c r="G459" s="867"/>
      <c r="H459" s="867"/>
      <c r="I459" s="769"/>
      <c r="J459" s="91"/>
      <c r="K459" s="431"/>
      <c r="L459" s="452"/>
      <c r="M459" s="453" t="s">
        <v>170</v>
      </c>
      <c r="N459" s="454"/>
      <c r="O459" s="455" t="s">
        <v>63</v>
      </c>
      <c r="P459" s="439"/>
      <c r="Q459" s="137"/>
      <c r="R459" s="137"/>
      <c r="S459" s="456"/>
      <c r="T459" s="456"/>
      <c r="U459" s="456"/>
      <c r="V459" s="456"/>
      <c r="W459" s="456"/>
      <c r="X459" s="456"/>
    </row>
    <row r="460" spans="1:25" s="91" customFormat="1" ht="15.75" customHeight="1" x14ac:dyDescent="0.25">
      <c r="A460" s="95" t="s">
        <v>117</v>
      </c>
      <c r="B460" s="1008" t="s">
        <v>154</v>
      </c>
      <c r="C460" s="1009"/>
      <c r="D460" s="1009"/>
      <c r="E460" s="1010"/>
      <c r="F460" s="953">
        <v>870</v>
      </c>
      <c r="G460" s="961"/>
      <c r="H460" s="961"/>
      <c r="I460" s="954"/>
      <c r="K460" s="431"/>
      <c r="L460" s="65" t="s">
        <v>64</v>
      </c>
      <c r="M460" s="457"/>
      <c r="N460" s="457" t="s">
        <v>171</v>
      </c>
      <c r="O460" s="458"/>
      <c r="P460" s="439"/>
      <c r="Q460" s="137"/>
      <c r="R460" s="137"/>
      <c r="S460" s="459"/>
      <c r="T460" s="459"/>
      <c r="U460" s="459"/>
      <c r="V460" s="459"/>
      <c r="W460" s="459"/>
      <c r="X460" s="459"/>
    </row>
    <row r="461" spans="1:25" s="131" customFormat="1" ht="15.75" customHeight="1" x14ac:dyDescent="0.25">
      <c r="A461" s="95" t="s">
        <v>160</v>
      </c>
      <c r="B461" s="1008" t="s">
        <v>155</v>
      </c>
      <c r="C461" s="1009"/>
      <c r="D461" s="1009"/>
      <c r="E461" s="1010"/>
      <c r="F461" s="953">
        <v>1700</v>
      </c>
      <c r="G461" s="961"/>
      <c r="H461" s="961"/>
      <c r="I461" s="954"/>
      <c r="J461" s="91"/>
      <c r="K461" s="431"/>
      <c r="L461" s="65">
        <f>SUM(L116:L459)</f>
        <v>0</v>
      </c>
      <c r="M461" s="460"/>
      <c r="N461" s="460"/>
      <c r="O461" s="461"/>
      <c r="P461" s="462"/>
      <c r="Q461" s="137"/>
      <c r="R461" s="137"/>
      <c r="S461" s="456"/>
      <c r="T461" s="130"/>
      <c r="U461" s="130"/>
      <c r="V461" s="130"/>
      <c r="W461" s="130"/>
      <c r="X461" s="130"/>
    </row>
    <row r="462" spans="1:25" s="131" customFormat="1" ht="7.5" customHeight="1" x14ac:dyDescent="0.25">
      <c r="A462" s="451"/>
      <c r="B462" s="91"/>
      <c r="C462" s="124"/>
      <c r="D462" s="124"/>
      <c r="E462" s="124"/>
      <c r="F462" s="124"/>
      <c r="G462" s="463"/>
      <c r="H462" s="16"/>
      <c r="I462" s="16"/>
      <c r="J462" s="124"/>
      <c r="K462" s="431"/>
      <c r="L462" s="452"/>
      <c r="M462" s="452"/>
      <c r="N462" s="452"/>
      <c r="O462" s="464"/>
      <c r="P462" s="91"/>
      <c r="Q462" s="465"/>
      <c r="R462" s="305"/>
      <c r="S462" s="305"/>
      <c r="T462" s="456"/>
      <c r="U462" s="130"/>
      <c r="V462" s="130"/>
      <c r="W462" s="130"/>
      <c r="X462" s="130"/>
      <c r="Y462" s="130"/>
    </row>
    <row r="463" spans="1:25" s="91" customFormat="1" ht="0.75" customHeight="1" x14ac:dyDescent="0.25">
      <c r="A463" s="451"/>
      <c r="B463" s="129"/>
      <c r="C463" s="111"/>
      <c r="D463" s="111"/>
      <c r="E463" s="111"/>
      <c r="F463" s="111"/>
      <c r="G463" s="111"/>
      <c r="H463" s="111"/>
      <c r="I463" s="111"/>
      <c r="J463" s="111"/>
      <c r="K463" s="431"/>
      <c r="L463" s="452"/>
      <c r="M463" s="452"/>
      <c r="N463" s="452"/>
      <c r="O463" s="464"/>
      <c r="Q463" s="109"/>
      <c r="R463" s="109"/>
    </row>
    <row r="464" spans="1:25" s="24" customFormat="1" ht="15.75" customHeight="1" x14ac:dyDescent="0.25">
      <c r="A464" s="22"/>
      <c r="B464" s="960" t="s">
        <v>164</v>
      </c>
      <c r="C464" s="960"/>
      <c r="D464" s="960"/>
      <c r="E464" s="960"/>
      <c r="F464" s="960"/>
      <c r="G464" s="960"/>
      <c r="H464" s="600" t="str">
        <f>IF(OR(fio="",L461=0),"",L461)</f>
        <v/>
      </c>
      <c r="I464" s="28" t="s">
        <v>114</v>
      </c>
      <c r="K464" s="358"/>
      <c r="L464" s="601"/>
      <c r="M464" s="601"/>
      <c r="N464" s="601"/>
      <c r="O464" s="141"/>
      <c r="T464" s="474"/>
    </row>
    <row r="465" spans="1:20" s="24" customFormat="1" ht="3" customHeight="1" x14ac:dyDescent="0.25">
      <c r="A465" s="22"/>
      <c r="B465" s="7"/>
      <c r="C465" s="602"/>
      <c r="D465" s="602"/>
      <c r="E465" s="602"/>
      <c r="F465" s="602"/>
      <c r="G465" s="602"/>
      <c r="H465" s="602"/>
      <c r="I465" s="602"/>
      <c r="J465" s="105"/>
      <c r="K465" s="358"/>
      <c r="L465" s="427"/>
      <c r="M465" s="427"/>
      <c r="N465" s="427"/>
      <c r="O465" s="141"/>
      <c r="P465" s="427"/>
      <c r="S465" s="427"/>
      <c r="T465" s="474"/>
    </row>
    <row r="466" spans="1:20" s="24" customFormat="1" ht="15.75" customHeight="1" x14ac:dyDescent="0.25">
      <c r="A466" s="61" t="s">
        <v>181</v>
      </c>
      <c r="B466" s="31"/>
      <c r="C466" s="78"/>
      <c r="E466" s="150" t="str">
        <f>IF(OR(H464="",fio=""),"",IF(N31&lt;31,IF(L32=1,L31,""),""))</f>
        <v/>
      </c>
      <c r="G466" s="88" t="str">
        <f>IF(OR(H464="",fio=""),"",
IF(E50="первая",
IF(H464&gt;=F460," соответствует"," не соответствует"),
IF(H464&gt;=F461," соответствует"," не соответствует")))</f>
        <v/>
      </c>
      <c r="H466" s="31"/>
      <c r="I466" s="959" t="s">
        <v>116</v>
      </c>
      <c r="J466" s="959"/>
      <c r="K466" s="358"/>
      <c r="L466" s="427"/>
      <c r="M466" s="427"/>
      <c r="N466" s="427"/>
      <c r="O466" s="141"/>
      <c r="P466" s="427"/>
      <c r="S466" s="427"/>
      <c r="T466" s="474"/>
    </row>
    <row r="467" spans="1:20" s="24" customFormat="1" x14ac:dyDescent="0.25">
      <c r="A467" s="61" t="s">
        <v>156</v>
      </c>
      <c r="B467" s="31"/>
      <c r="C467" s="31"/>
      <c r="D467" s="31"/>
      <c r="E467" s="81" t="str">
        <f>IF(OR(H464="",fio="",E50=""),"",IF(E50="первая",A460,A461))</f>
        <v/>
      </c>
      <c r="F467" s="31" t="s">
        <v>115</v>
      </c>
      <c r="G467" s="31"/>
      <c r="J467" s="78"/>
      <c r="K467" s="358"/>
      <c r="L467" s="79"/>
      <c r="M467" s="427"/>
      <c r="N467" s="427"/>
      <c r="O467" s="141"/>
      <c r="P467" s="427"/>
      <c r="S467" s="427"/>
      <c r="T467" s="474"/>
    </row>
    <row r="468" spans="1:20" s="20" customFormat="1" ht="6" customHeight="1" x14ac:dyDescent="0.25">
      <c r="A468" s="22"/>
      <c r="B468" s="129"/>
      <c r="C468" s="111"/>
      <c r="D468" s="111"/>
      <c r="E468" s="111"/>
      <c r="F468" s="111"/>
      <c r="G468" s="111"/>
      <c r="H468" s="111"/>
      <c r="I468" s="111"/>
      <c r="J468" s="111"/>
      <c r="K468" s="354"/>
      <c r="L468" s="3"/>
      <c r="M468" s="3"/>
      <c r="N468" s="3"/>
      <c r="O468" s="975"/>
      <c r="P468" s="975"/>
      <c r="Q468" s="975"/>
      <c r="R468" s="975"/>
      <c r="S468" s="975"/>
      <c r="T468" s="3"/>
    </row>
    <row r="469" spans="1:20" s="20" customFormat="1" ht="15.6" hidden="1" x14ac:dyDescent="0.25">
      <c r="A469" s="1046" t="s">
        <v>233</v>
      </c>
      <c r="B469" s="1046"/>
      <c r="C469" s="1046"/>
      <c r="D469" s="111"/>
      <c r="E469" s="111"/>
      <c r="F469" s="111"/>
      <c r="G469" s="111"/>
      <c r="H469" s="111"/>
      <c r="I469" s="111"/>
      <c r="J469" s="111"/>
      <c r="K469" s="354"/>
      <c r="L469" s="3"/>
      <c r="M469" s="3"/>
      <c r="N469" s="3"/>
      <c r="O469" s="27"/>
      <c r="P469" s="27"/>
      <c r="Q469" s="27"/>
      <c r="R469" s="27"/>
      <c r="S469" s="27"/>
      <c r="T469" s="3"/>
    </row>
    <row r="470" spans="1:20" s="20" customFormat="1" ht="15.6" hidden="1" x14ac:dyDescent="0.3">
      <c r="A470" s="1046"/>
      <c r="B470" s="1046"/>
      <c r="C470" s="1046"/>
      <c r="D470" s="133"/>
      <c r="E470" s="82"/>
      <c r="F470" s="117" t="str">
        <f>IF(fio&lt;&gt;"",IF('общие сведения'!K98&lt;&gt;"",'общие сведения'!K98,""),"")</f>
        <v/>
      </c>
      <c r="G470" s="80"/>
      <c r="H470" s="80"/>
      <c r="I470" s="80"/>
      <c r="J470" s="80"/>
      <c r="K470" s="354"/>
      <c r="L470" s="3"/>
      <c r="M470" s="3"/>
      <c r="N470" s="3"/>
      <c r="O470" s="139"/>
      <c r="Q470" s="77"/>
      <c r="S470" s="30"/>
      <c r="T470" s="3"/>
    </row>
    <row r="471" spans="1:20" s="20" customFormat="1" ht="12.75" hidden="1" customHeight="1" x14ac:dyDescent="0.3">
      <c r="A471" s="223"/>
      <c r="B471" s="224"/>
      <c r="C471" s="5"/>
      <c r="D471" s="133"/>
      <c r="E471" s="82"/>
      <c r="F471" s="789" t="s">
        <v>159</v>
      </c>
      <c r="G471" s="789"/>
      <c r="H471" s="789"/>
      <c r="I471" s="789"/>
      <c r="J471" s="789"/>
      <c r="K471" s="354"/>
      <c r="O471" s="56"/>
      <c r="P471" s="27"/>
      <c r="Q471" s="27"/>
      <c r="R471" s="27"/>
      <c r="S471" s="27"/>
      <c r="T471" s="3"/>
    </row>
    <row r="472" spans="1:20" s="20" customFormat="1" ht="15.6" hidden="1" x14ac:dyDescent="0.3">
      <c r="A472" s="223" t="s">
        <v>157</v>
      </c>
      <c r="B472" s="224"/>
      <c r="C472" s="5"/>
      <c r="D472" s="133"/>
      <c r="E472" s="82"/>
      <c r="F472" s="117" t="str">
        <f>IF(fio&lt;&gt;"",IF('общие сведения'!K100&lt;&gt;"",'общие сведения'!K100,""),"")</f>
        <v/>
      </c>
      <c r="G472" s="119"/>
      <c r="H472" s="118"/>
      <c r="I472" s="118"/>
      <c r="J472" s="118"/>
      <c r="K472" s="354"/>
      <c r="L472" s="31"/>
      <c r="M472" s="31"/>
      <c r="N472" s="31"/>
      <c r="O472" s="142"/>
      <c r="P472" s="78"/>
      <c r="Q472" s="78"/>
      <c r="S472" s="29"/>
      <c r="T472" s="3"/>
    </row>
    <row r="473" spans="1:20" s="20" customFormat="1" ht="12.75" hidden="1" customHeight="1" x14ac:dyDescent="0.3">
      <c r="A473" s="225"/>
      <c r="B473" s="226"/>
      <c r="C473" s="5"/>
      <c r="D473" s="133"/>
      <c r="E473" s="82"/>
      <c r="F473" s="789" t="s">
        <v>159</v>
      </c>
      <c r="G473" s="789"/>
      <c r="H473" s="789"/>
      <c r="I473" s="789"/>
      <c r="J473" s="789"/>
      <c r="K473" s="354"/>
      <c r="M473" s="31"/>
      <c r="N473" s="31"/>
      <c r="O473" s="117"/>
      <c r="P473" s="31"/>
      <c r="Q473" s="31"/>
      <c r="R473" s="31"/>
      <c r="S473" s="31"/>
      <c r="T473" s="3"/>
    </row>
    <row r="474" spans="1:20" s="20" customFormat="1" ht="15.6" hidden="1" x14ac:dyDescent="0.3">
      <c r="A474" s="225"/>
      <c r="B474" s="227"/>
      <c r="C474" s="5"/>
      <c r="D474" s="133"/>
      <c r="E474" s="82"/>
      <c r="F474" s="117" t="str">
        <f>IF(fio&lt;&gt;"",IF('общие сведения'!K102&lt;&gt;"",'общие сведения'!K102,""),"")</f>
        <v/>
      </c>
      <c r="G474" s="119"/>
      <c r="H474" s="118"/>
      <c r="I474" s="118"/>
      <c r="J474" s="118"/>
      <c r="K474" s="354"/>
      <c r="L474" s="3"/>
      <c r="M474" s="3"/>
      <c r="N474" s="3"/>
      <c r="O474" s="139"/>
      <c r="Q474" s="26"/>
      <c r="R474" s="3"/>
      <c r="S474" s="3"/>
      <c r="T474" s="3"/>
    </row>
    <row r="475" spans="1:20" s="20" customFormat="1" ht="15.6" hidden="1" x14ac:dyDescent="0.3">
      <c r="A475" s="225"/>
      <c r="B475" s="227"/>
      <c r="C475" s="5"/>
      <c r="D475" s="133"/>
      <c r="E475" s="82"/>
      <c r="F475" s="789" t="s">
        <v>159</v>
      </c>
      <c r="G475" s="789"/>
      <c r="H475" s="789"/>
      <c r="I475" s="789"/>
      <c r="J475" s="789"/>
      <c r="K475" s="354"/>
      <c r="L475" s="3"/>
      <c r="N475" s="82"/>
      <c r="O475" s="143"/>
      <c r="P475" s="82"/>
      <c r="Q475" s="82"/>
      <c r="R475" s="82"/>
      <c r="S475" s="82"/>
    </row>
    <row r="476" spans="1:20" s="20" customFormat="1" ht="15.6" hidden="1" x14ac:dyDescent="0.3">
      <c r="A476" s="225"/>
      <c r="B476" s="227"/>
      <c r="C476" s="5"/>
      <c r="D476" s="133"/>
      <c r="E476" s="82"/>
      <c r="F476" s="117" t="str">
        <f>IF(fio&lt;&gt;"",IF('общие сведения'!K104&lt;&gt;"",'общие сведения'!K104,""),"")</f>
        <v/>
      </c>
      <c r="G476" s="119"/>
      <c r="H476" s="118"/>
      <c r="I476" s="118"/>
      <c r="J476" s="118"/>
      <c r="K476" s="354"/>
      <c r="N476" s="83"/>
      <c r="O476" s="144"/>
      <c r="P476" s="83"/>
      <c r="Q476" s="83"/>
      <c r="R476" s="83"/>
      <c r="S476" s="83"/>
    </row>
    <row r="477" spans="1:20" s="20" customFormat="1" ht="15.6" hidden="1" x14ac:dyDescent="0.3">
      <c r="A477" s="225"/>
      <c r="B477" s="227"/>
      <c r="C477" s="5"/>
      <c r="D477" s="111"/>
      <c r="E477" s="111"/>
      <c r="F477" s="789" t="s">
        <v>159</v>
      </c>
      <c r="G477" s="789"/>
      <c r="H477" s="789"/>
      <c r="I477" s="789"/>
      <c r="J477" s="789"/>
      <c r="K477" s="354"/>
      <c r="L477" s="3"/>
      <c r="N477" s="82"/>
      <c r="O477" s="143"/>
      <c r="P477" s="82"/>
      <c r="Q477" s="82"/>
      <c r="R477" s="82"/>
      <c r="S477" s="82"/>
    </row>
    <row r="478" spans="1:20" s="20" customFormat="1" ht="1.5" hidden="1" customHeight="1" x14ac:dyDescent="0.3">
      <c r="A478" s="22"/>
      <c r="B478" s="129"/>
      <c r="C478" s="111"/>
      <c r="D478" s="111"/>
      <c r="E478" s="111"/>
      <c r="F478" s="104"/>
      <c r="G478" s="104"/>
      <c r="H478" s="104"/>
      <c r="I478" s="104"/>
      <c r="J478" s="104"/>
      <c r="K478" s="354"/>
      <c r="L478" s="3"/>
      <c r="N478" s="82"/>
      <c r="O478" s="143"/>
      <c r="P478" s="82"/>
      <c r="Q478" s="82"/>
      <c r="R478" s="82"/>
      <c r="S478" s="82"/>
    </row>
    <row r="479" spans="1:20" s="20" customFormat="1" ht="15.6" hidden="1" x14ac:dyDescent="0.3">
      <c r="A479" s="91"/>
      <c r="B479" s="994" t="s">
        <v>53</v>
      </c>
      <c r="C479" s="994"/>
      <c r="D479" s="994"/>
      <c r="E479" s="994"/>
      <c r="G479" s="105" t="str">
        <f>IF(H464&lt;&gt;"","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79" s="120"/>
      <c r="I479" s="120"/>
      <c r="J479" s="109"/>
      <c r="K479" s="354"/>
      <c r="N479" s="83"/>
      <c r="O479" s="144"/>
      <c r="P479" s="83"/>
      <c r="Q479" s="83"/>
      <c r="R479" s="83"/>
      <c r="S479" s="83"/>
    </row>
    <row r="480" spans="1:20" s="20" customFormat="1" ht="7.5" hidden="1" customHeight="1" x14ac:dyDescent="0.3">
      <c r="A480" s="91"/>
      <c r="B480" s="134"/>
      <c r="C480" s="134"/>
      <c r="D480" s="134"/>
      <c r="E480" s="32"/>
      <c r="F480" s="105"/>
      <c r="G480" s="121"/>
      <c r="H480" s="120"/>
      <c r="I480" s="120"/>
      <c r="J480" s="109"/>
      <c r="K480" s="354"/>
      <c r="N480" s="83"/>
      <c r="O480" s="144"/>
      <c r="P480" s="83"/>
      <c r="Q480" s="83"/>
      <c r="R480" s="83"/>
      <c r="S480" s="83"/>
    </row>
    <row r="481" spans="1:20" s="20" customFormat="1" ht="15.6" hidden="1" x14ac:dyDescent="0.3">
      <c r="A481" s="91"/>
      <c r="B481" s="134"/>
      <c r="C481" s="134"/>
      <c r="D481" s="134"/>
      <c r="E481" s="32"/>
      <c r="F481" s="105"/>
      <c r="G481" s="121"/>
      <c r="H481" s="120"/>
      <c r="I481" s="120"/>
      <c r="J481" s="109"/>
      <c r="K481" s="354"/>
      <c r="N481" s="83"/>
      <c r="O481" s="144"/>
      <c r="P481" s="83"/>
      <c r="Q481" s="83"/>
      <c r="R481" s="83"/>
      <c r="S481" s="83"/>
    </row>
    <row r="482" spans="1:20" s="20" customFormat="1" ht="1.5" hidden="1" customHeight="1" x14ac:dyDescent="0.3">
      <c r="A482" s="91"/>
      <c r="B482" s="134"/>
      <c r="C482" s="134"/>
      <c r="D482" s="134"/>
      <c r="E482" s="32"/>
      <c r="F482" s="105"/>
      <c r="G482" s="121"/>
      <c r="H482" s="120"/>
      <c r="I482" s="120"/>
      <c r="J482" s="109"/>
      <c r="K482" s="354"/>
      <c r="N482" s="83"/>
      <c r="O482" s="144"/>
      <c r="P482" s="83"/>
      <c r="Q482" s="83"/>
      <c r="R482" s="83"/>
      <c r="S482" s="83"/>
    </row>
    <row r="483" spans="1:20" s="20" customFormat="1" ht="15.6" hidden="1" x14ac:dyDescent="0.3">
      <c r="A483" s="22"/>
      <c r="B483" s="129"/>
      <c r="C483" s="134"/>
      <c r="D483" s="111"/>
      <c r="E483" s="111"/>
      <c r="F483" s="111"/>
      <c r="G483" s="111"/>
      <c r="H483" s="33"/>
      <c r="I483" s="33"/>
      <c r="J483" s="111"/>
      <c r="K483" s="354"/>
      <c r="L483" s="3"/>
      <c r="M483" s="82" t="str">
        <f>IF(ЭЗ!E731&lt;&gt;"",ЭЗ!E731,"")</f>
        <v/>
      </c>
      <c r="N483" s="82"/>
      <c r="O483" s="143"/>
      <c r="P483" s="82"/>
      <c r="Q483" s="82"/>
      <c r="R483" s="82"/>
      <c r="S483" s="82"/>
    </row>
    <row r="484" spans="1:20" s="20" customFormat="1" ht="15.75" hidden="1" customHeight="1" x14ac:dyDescent="0.3">
      <c r="A484" s="993" t="s">
        <v>243</v>
      </c>
      <c r="B484" s="993"/>
      <c r="C484" s="993"/>
      <c r="D484" s="993"/>
      <c r="E484" s="993"/>
      <c r="F484" s="993"/>
      <c r="G484" s="993"/>
      <c r="H484" s="993"/>
      <c r="I484" s="993"/>
      <c r="J484" s="993"/>
      <c r="K484" s="354"/>
      <c r="N484" s="83"/>
      <c r="O484" s="144"/>
      <c r="P484" s="83"/>
      <c r="Q484" s="83"/>
      <c r="R484" s="83"/>
      <c r="S484" s="83"/>
    </row>
    <row r="485" spans="1:20" s="20" customFormat="1" ht="15.6" hidden="1" x14ac:dyDescent="0.3">
      <c r="A485" s="123" t="s">
        <v>52</v>
      </c>
      <c r="B485" s="91"/>
      <c r="C485" s="135"/>
      <c r="D485" s="91"/>
      <c r="E485" s="89"/>
      <c r="F485" s="61" t="str">
        <f>IF('общие сведения'!K25&lt;&gt;"",'общие сведения'!K25,"")</f>
        <v/>
      </c>
      <c r="G485" s="24"/>
      <c r="H485" s="24"/>
      <c r="I485" s="24"/>
      <c r="K485" s="354"/>
      <c r="N485" s="83"/>
      <c r="O485" s="144"/>
      <c r="P485" s="83"/>
      <c r="Q485" s="83"/>
      <c r="R485" s="83"/>
      <c r="S485" s="83"/>
      <c r="T485" s="3"/>
    </row>
    <row r="486" spans="1:20" s="20" customFormat="1" ht="12" hidden="1" customHeight="1" x14ac:dyDescent="0.35">
      <c r="A486" s="22"/>
      <c r="B486" s="109"/>
      <c r="C486" s="111"/>
      <c r="D486" s="997" t="s">
        <v>158</v>
      </c>
      <c r="E486" s="997"/>
      <c r="F486" s="789" t="s">
        <v>159</v>
      </c>
      <c r="G486" s="789"/>
      <c r="H486" s="789"/>
      <c r="I486" s="789"/>
      <c r="J486" s="789"/>
      <c r="K486" s="354"/>
      <c r="N486" s="84"/>
      <c r="O486" s="145"/>
      <c r="P486" s="85"/>
      <c r="Q486" s="86"/>
      <c r="R486" s="87"/>
      <c r="S486" s="3"/>
    </row>
    <row r="487" spans="1:20" s="20" customFormat="1" ht="2.25" hidden="1" customHeight="1" x14ac:dyDescent="0.35">
      <c r="A487" s="22"/>
      <c r="B487" s="109"/>
      <c r="C487" s="111"/>
      <c r="D487" s="122"/>
      <c r="E487" s="122"/>
      <c r="F487" s="104"/>
      <c r="G487" s="104"/>
      <c r="H487" s="104"/>
      <c r="I487" s="104"/>
      <c r="J487" s="104"/>
      <c r="K487" s="354"/>
      <c r="N487" s="84"/>
      <c r="O487" s="145"/>
      <c r="P487" s="85"/>
      <c r="Q487" s="86"/>
      <c r="R487" s="87"/>
      <c r="S487" s="3"/>
    </row>
    <row r="488" spans="1:20" s="20" customFormat="1" ht="1.5" hidden="1" customHeight="1" x14ac:dyDescent="0.35">
      <c r="A488" s="22"/>
      <c r="B488" s="109"/>
      <c r="C488" s="111"/>
      <c r="D488" s="122"/>
      <c r="E488" s="122"/>
      <c r="F488" s="104"/>
      <c r="G488" s="104"/>
      <c r="H488" s="104"/>
      <c r="I488" s="104"/>
      <c r="J488" s="104"/>
      <c r="K488" s="354"/>
      <c r="N488" s="84"/>
      <c r="O488" s="145"/>
      <c r="P488" s="85"/>
      <c r="Q488" s="86"/>
      <c r="R488" s="87"/>
      <c r="S488" s="3"/>
    </row>
    <row r="489" spans="1:20" s="20" customFormat="1" ht="1.5" hidden="1" customHeight="1" x14ac:dyDescent="0.35">
      <c r="A489" s="22"/>
      <c r="B489" s="109"/>
      <c r="C489" s="111"/>
      <c r="D489" s="122"/>
      <c r="E489" s="122"/>
      <c r="F489" s="104"/>
      <c r="G489" s="104"/>
      <c r="H489" s="104"/>
      <c r="I489" s="104"/>
      <c r="J489" s="104"/>
      <c r="K489" s="354"/>
      <c r="N489" s="84"/>
      <c r="O489" s="145"/>
      <c r="P489" s="85"/>
      <c r="Q489" s="86"/>
      <c r="R489" s="87"/>
      <c r="S489" s="3"/>
    </row>
    <row r="490" spans="1:20" s="24" customFormat="1" ht="14.4" x14ac:dyDescent="0.3">
      <c r="A490" s="466" t="s">
        <v>169</v>
      </c>
      <c r="C490" s="467"/>
      <c r="D490" s="467"/>
      <c r="E490" s="467"/>
      <c r="F490" s="467"/>
      <c r="G490" s="467"/>
      <c r="H490" s="467"/>
      <c r="I490" s="467"/>
      <c r="J490" s="467"/>
      <c r="K490" s="358"/>
      <c r="L490" s="468"/>
      <c r="M490" s="469"/>
      <c r="N490" s="470"/>
      <c r="O490" s="471"/>
      <c r="P490" s="470"/>
      <c r="Q490" s="472"/>
      <c r="R490" s="473"/>
      <c r="S490" s="474"/>
      <c r="T490" s="474"/>
    </row>
    <row r="491" spans="1:20" s="20" customFormat="1" ht="3" customHeight="1" x14ac:dyDescent="0.3">
      <c r="A491" s="22"/>
      <c r="B491" s="136"/>
      <c r="C491" s="136"/>
      <c r="D491" s="136"/>
      <c r="E491" s="34"/>
      <c r="F491" s="34"/>
      <c r="G491" s="34"/>
      <c r="H491" s="34"/>
      <c r="I491" s="34"/>
      <c r="J491" s="34"/>
      <c r="K491" s="354"/>
      <c r="L491" s="96"/>
      <c r="M491" s="96"/>
      <c r="N491" s="96"/>
      <c r="O491" s="34"/>
      <c r="P491" s="96"/>
      <c r="Q491" s="96"/>
      <c r="R491" s="96"/>
      <c r="S491" s="96"/>
      <c r="T491" s="3"/>
    </row>
    <row r="492" spans="1:20" s="20" customFormat="1" ht="13.2" x14ac:dyDescent="0.25">
      <c r="A492" s="995" t="str">
        <f xml:space="preserve"> IF(всего&lt;&gt;"",'общие сведения'!L178,"")</f>
        <v/>
      </c>
      <c r="B492" s="996"/>
      <c r="C492" s="996"/>
      <c r="D492" s="996"/>
      <c r="E492" s="996"/>
      <c r="F492" s="996"/>
      <c r="G492" s="996"/>
      <c r="H492" s="996"/>
      <c r="I492" s="996"/>
      <c r="J492" s="996"/>
      <c r="K492" s="354"/>
      <c r="L492" s="3"/>
      <c r="M492" s="3"/>
      <c r="N492" s="3"/>
      <c r="O492" s="139"/>
      <c r="P492" s="3"/>
      <c r="Q492" s="26"/>
      <c r="R492" s="3"/>
      <c r="S492" s="3"/>
      <c r="T492" s="3"/>
    </row>
    <row r="493" spans="1:20" s="20" customFormat="1" ht="15" x14ac:dyDescent="0.25">
      <c r="A493" s="996"/>
      <c r="B493" s="996"/>
      <c r="C493" s="996"/>
      <c r="D493" s="996"/>
      <c r="E493" s="996"/>
      <c r="F493" s="996"/>
      <c r="G493" s="996"/>
      <c r="H493" s="996"/>
      <c r="I493" s="996"/>
      <c r="J493" s="996"/>
      <c r="K493" s="354"/>
      <c r="L493" s="92"/>
      <c r="M493" s="3"/>
      <c r="N493" s="974"/>
      <c r="O493" s="974"/>
      <c r="P493" s="974"/>
      <c r="Q493" s="974"/>
      <c r="R493" s="974"/>
      <c r="S493" s="974"/>
      <c r="T493" s="3"/>
    </row>
    <row r="494" spans="1:20" s="20" customFormat="1" ht="15.6" x14ac:dyDescent="0.25">
      <c r="A494" s="996"/>
      <c r="B494" s="996"/>
      <c r="C494" s="996"/>
      <c r="D494" s="996"/>
      <c r="E494" s="996"/>
      <c r="F494" s="996"/>
      <c r="G494" s="996"/>
      <c r="H494" s="996"/>
      <c r="I494" s="996"/>
      <c r="J494" s="996"/>
      <c r="K494" s="354"/>
      <c r="L494" s="93"/>
      <c r="O494" s="142"/>
      <c r="P494" s="93"/>
      <c r="Q494" s="93"/>
      <c r="R494" s="93"/>
      <c r="S494" s="93"/>
      <c r="T494" s="3"/>
    </row>
    <row r="495" spans="1:20" s="20" customFormat="1" ht="16.5" customHeight="1" x14ac:dyDescent="0.3">
      <c r="A495" s="996"/>
      <c r="B495" s="996"/>
      <c r="C495" s="996"/>
      <c r="D495" s="996"/>
      <c r="E495" s="996"/>
      <c r="F495" s="996"/>
      <c r="G495" s="996"/>
      <c r="H495" s="996"/>
      <c r="I495" s="996"/>
      <c r="J495" s="996"/>
      <c r="K495" s="354"/>
      <c r="L495" s="97"/>
      <c r="M495" s="97"/>
      <c r="N495" s="97"/>
      <c r="O495" s="146"/>
      <c r="P495" s="97"/>
      <c r="Q495" s="97"/>
      <c r="R495" s="97"/>
      <c r="S495" s="97"/>
      <c r="T495" s="3"/>
    </row>
    <row r="496" spans="1:20" s="20" customFormat="1" ht="16.5" customHeight="1" x14ac:dyDescent="0.3">
      <c r="A496" s="23"/>
      <c r="B496" s="137"/>
      <c r="C496" s="137"/>
      <c r="D496" s="138"/>
      <c r="E496" s="23"/>
      <c r="F496" s="23"/>
      <c r="G496" s="23"/>
      <c r="H496" s="23"/>
      <c r="I496" s="23"/>
      <c r="J496" s="23"/>
      <c r="K496" s="354"/>
      <c r="L496" s="34"/>
      <c r="M496" s="34"/>
      <c r="N496" s="34"/>
      <c r="O496" s="34"/>
      <c r="P496" s="34"/>
      <c r="Q496" s="34"/>
      <c r="R496" s="34"/>
      <c r="S496" s="34"/>
      <c r="T496" s="3"/>
    </row>
    <row r="497" spans="1:20" s="20" customFormat="1" ht="33" customHeight="1" x14ac:dyDescent="0.3">
      <c r="A497" s="34"/>
      <c r="B497" s="1045" t="str">
        <f>IF(A510=13,"Экспертное заключение ГОТОВО к печати","ЭЗ не готово к печати")</f>
        <v>ЭЗ не готово к печати</v>
      </c>
      <c r="C497" s="1045"/>
      <c r="D497" s="1045"/>
      <c r="E497" s="1045"/>
      <c r="F497" s="1045"/>
      <c r="G497" s="1045"/>
      <c r="H497" s="1045"/>
      <c r="I497" s="1045"/>
      <c r="J497" s="1045"/>
      <c r="K497" s="34"/>
      <c r="L497" s="34"/>
      <c r="M497" s="34"/>
      <c r="N497" s="34"/>
      <c r="O497" s="34"/>
      <c r="P497" s="34"/>
      <c r="Q497" s="34"/>
      <c r="S497" s="34"/>
      <c r="T497" s="3"/>
    </row>
    <row r="498" spans="1:20" s="20" customFormat="1" ht="15.6" x14ac:dyDescent="0.3">
      <c r="A498" s="186">
        <f t="shared" ref="A498:A509" si="1">IF(F498=" + ",1,0)</f>
        <v>0</v>
      </c>
      <c r="B498" s="973" t="s">
        <v>119</v>
      </c>
      <c r="C498" s="973"/>
      <c r="D498" s="973"/>
      <c r="E498" s="207"/>
      <c r="F498" s="207" t="str">
        <f>IF(fio&lt;&gt;""," + ","не заполнено")</f>
        <v>не заполнено</v>
      </c>
      <c r="G498" s="208"/>
      <c r="H498" s="207"/>
      <c r="I498" s="207"/>
      <c r="J498" s="207"/>
      <c r="K498" s="34"/>
      <c r="L498" s="34"/>
      <c r="M498" s="34"/>
      <c r="N498" s="34"/>
      <c r="O498" s="34"/>
      <c r="P498" s="34"/>
      <c r="Q498" s="35"/>
      <c r="S498" s="34"/>
      <c r="T498" s="3"/>
    </row>
    <row r="499" spans="1:20" s="20" customFormat="1" ht="15.6" x14ac:dyDescent="0.3">
      <c r="A499" s="186">
        <f t="shared" si="1"/>
        <v>0</v>
      </c>
      <c r="B499" s="972" t="s">
        <v>161</v>
      </c>
      <c r="C499" s="972"/>
      <c r="D499" s="972"/>
      <c r="E499" s="210"/>
      <c r="F499" s="211" t="str">
        <f>IF(C42&lt;&gt;""," + ","не заполнено")</f>
        <v>не заполнено</v>
      </c>
      <c r="G499" s="212"/>
      <c r="H499" s="210"/>
      <c r="I499" s="210"/>
      <c r="J499" s="210"/>
      <c r="K499" s="34"/>
      <c r="L499" s="34"/>
      <c r="M499" s="34"/>
      <c r="N499" s="34"/>
      <c r="O499" s="34"/>
      <c r="P499" s="34"/>
      <c r="Q499" s="35"/>
      <c r="S499" s="34"/>
      <c r="T499" s="3"/>
    </row>
    <row r="500" spans="1:20" s="20" customFormat="1" ht="15.75" customHeight="1" x14ac:dyDescent="0.25">
      <c r="A500" s="186">
        <f t="shared" si="1"/>
        <v>0</v>
      </c>
      <c r="B500" s="972" t="s">
        <v>162</v>
      </c>
      <c r="C500" s="972"/>
      <c r="D500" s="972"/>
      <c r="E500" s="210"/>
      <c r="F500" s="211" t="str">
        <f>IF(C45&lt;&gt;""," + ","не заполнено")</f>
        <v>не заполнено</v>
      </c>
      <c r="G500" s="212"/>
      <c r="H500" s="210"/>
      <c r="I500" s="210"/>
      <c r="J500" s="210"/>
      <c r="K500" s="94"/>
      <c r="L500" s="94"/>
      <c r="M500" s="94"/>
      <c r="N500" s="94"/>
      <c r="O500" s="147"/>
      <c r="P500" s="94"/>
      <c r="Q500" s="94"/>
      <c r="S500" s="94"/>
      <c r="T500" s="3"/>
    </row>
    <row r="501" spans="1:20" s="20" customFormat="1" x14ac:dyDescent="0.25">
      <c r="A501" s="186">
        <f t="shared" si="1"/>
        <v>0</v>
      </c>
      <c r="B501" s="972" t="s">
        <v>120</v>
      </c>
      <c r="C501" s="972"/>
      <c r="D501" s="972"/>
      <c r="E501" s="211"/>
      <c r="F501" s="211" t="str">
        <f>IF(G47&lt;&gt;""," + ","не заполнено")</f>
        <v>не заполнено</v>
      </c>
      <c r="G501" s="212"/>
      <c r="H501" s="211"/>
      <c r="I501" s="211"/>
      <c r="J501" s="211"/>
      <c r="L501" s="43"/>
      <c r="M501" s="43"/>
      <c r="N501" s="43"/>
      <c r="O501" s="142"/>
      <c r="Q501" s="3"/>
      <c r="S501" s="3"/>
      <c r="T501" s="3"/>
    </row>
    <row r="502" spans="1:20" s="20" customFormat="1" x14ac:dyDescent="0.25">
      <c r="A502" s="186">
        <f t="shared" si="1"/>
        <v>0</v>
      </c>
      <c r="B502" s="972" t="s">
        <v>172</v>
      </c>
      <c r="C502" s="972"/>
      <c r="D502" s="972"/>
      <c r="E502" s="211"/>
      <c r="F502" s="211" t="str">
        <f>IF(E48&lt;&gt;""," + ","не заполнено")</f>
        <v>не заполнено</v>
      </c>
      <c r="G502" s="212"/>
      <c r="H502" s="211"/>
      <c r="I502" s="211"/>
      <c r="J502" s="211"/>
      <c r="L502" s="43"/>
      <c r="M502" s="43"/>
      <c r="N502" s="43"/>
      <c r="O502" s="142"/>
      <c r="Q502" s="3"/>
      <c r="S502" s="3"/>
      <c r="T502" s="3"/>
    </row>
    <row r="503" spans="1:20" x14ac:dyDescent="0.25">
      <c r="A503" s="186">
        <f t="shared" si="1"/>
        <v>0</v>
      </c>
      <c r="B503" s="972" t="s">
        <v>173</v>
      </c>
      <c r="C503" s="972"/>
      <c r="D503" s="972"/>
      <c r="E503" s="213"/>
      <c r="F503" s="211" t="str">
        <f>IF(E49&lt;&gt;""," + ","не заполнено")</f>
        <v>не заполнено</v>
      </c>
      <c r="G503" s="214"/>
      <c r="H503" s="211"/>
      <c r="I503" s="211"/>
      <c r="J503" s="211"/>
    </row>
    <row r="504" spans="1:20" x14ac:dyDescent="0.25">
      <c r="A504" s="186">
        <f t="shared" si="1"/>
        <v>0</v>
      </c>
      <c r="B504" s="972" t="s">
        <v>174</v>
      </c>
      <c r="C504" s="972"/>
      <c r="D504" s="972"/>
      <c r="E504" s="215"/>
      <c r="F504" s="211" t="str">
        <f>IF(I49&lt;&gt;""," + ",IF(E49="нет"," + ","не заполнено"))</f>
        <v>не заполнено</v>
      </c>
      <c r="G504" s="214"/>
      <c r="H504" s="215"/>
      <c r="I504" s="215"/>
      <c r="J504" s="216"/>
    </row>
    <row r="505" spans="1:20" x14ac:dyDescent="0.25">
      <c r="A505" s="186">
        <v>1</v>
      </c>
      <c r="B505" s="972" t="s">
        <v>121</v>
      </c>
      <c r="C505" s="972"/>
      <c r="D505" s="972"/>
      <c r="E505" s="215"/>
      <c r="F505" s="211" t="str">
        <f>IF(E50&lt;&gt;"",IF(E50="первая"," + ",IF(AND(E50="высшая",OR(E49="первая",E49="высшая"))," + ","Внимание! Нет в наличии первой категории !")),"не заполнено")</f>
        <v>не заполнено</v>
      </c>
      <c r="G505" s="214"/>
      <c r="H505" s="217"/>
      <c r="I505" s="217"/>
      <c r="J505" s="217"/>
    </row>
    <row r="506" spans="1:20" x14ac:dyDescent="0.25">
      <c r="A506" s="186">
        <f t="shared" si="1"/>
        <v>0</v>
      </c>
      <c r="B506" s="972" t="s">
        <v>234</v>
      </c>
      <c r="C506" s="972"/>
      <c r="D506" s="972"/>
      <c r="E506" s="214"/>
      <c r="F506" s="211" t="str">
        <f>IF(F470&lt;&gt;""," + ","не заполнено")</f>
        <v>не заполнено</v>
      </c>
      <c r="G506" s="214"/>
      <c r="H506" s="214"/>
      <c r="I506" s="214"/>
      <c r="J506" s="214"/>
    </row>
    <row r="507" spans="1:20" x14ac:dyDescent="0.25">
      <c r="A507" s="186">
        <f t="shared" si="1"/>
        <v>0</v>
      </c>
      <c r="B507" s="972" t="s">
        <v>163</v>
      </c>
      <c r="C507" s="972"/>
      <c r="D507" s="972"/>
      <c r="E507" s="209" t="s">
        <v>235</v>
      </c>
      <c r="F507" s="211" t="str">
        <f>IF(F472&lt;&gt;""," + ","не заполнено")</f>
        <v>не заполнено</v>
      </c>
      <c r="G507" s="214"/>
      <c r="H507" s="214"/>
      <c r="I507" s="214"/>
      <c r="J507" s="214"/>
    </row>
    <row r="508" spans="1:20" x14ac:dyDescent="0.25">
      <c r="A508" s="186">
        <f t="shared" si="1"/>
        <v>1</v>
      </c>
      <c r="B508" s="218"/>
      <c r="C508" s="219"/>
      <c r="D508" s="219"/>
      <c r="E508" s="209" t="s">
        <v>236</v>
      </c>
      <c r="F508" s="211" t="str">
        <f>IF(AND('общие сведения'!F96&gt;1,F474=""),"не заполнено",IF(AND('общие сведения'!F96&lt;2,F474&lt;&gt;""),"кол-во экспертов не предусматривает наличие второго"," + "))</f>
        <v xml:space="preserve"> + </v>
      </c>
      <c r="G508" s="214"/>
      <c r="H508" s="214"/>
      <c r="I508" s="214"/>
      <c r="J508" s="214"/>
    </row>
    <row r="509" spans="1:20" x14ac:dyDescent="0.25">
      <c r="A509" s="186">
        <f t="shared" si="1"/>
        <v>0</v>
      </c>
      <c r="B509" s="983" t="s">
        <v>238</v>
      </c>
      <c r="C509" s="983"/>
      <c r="D509" s="983"/>
      <c r="E509" s="983"/>
      <c r="F509" s="211" t="str">
        <f>IF(H464&lt;&gt;""," + ","не заполнено - подсчет автоматический")</f>
        <v>не заполнено - подсчет автоматический</v>
      </c>
      <c r="G509" s="214"/>
      <c r="H509" s="214"/>
      <c r="I509" s="214"/>
      <c r="J509" s="214"/>
    </row>
    <row r="510" spans="1:20" x14ac:dyDescent="0.25">
      <c r="A510" s="187">
        <f>SUM(A498:A509)</f>
        <v>2</v>
      </c>
      <c r="B510" s="220"/>
      <c r="C510" s="221"/>
      <c r="D510" s="221"/>
      <c r="E510" s="222"/>
      <c r="F510" s="222"/>
      <c r="G510" s="222"/>
      <c r="H510" s="222"/>
      <c r="I510" s="222"/>
      <c r="J510" s="222"/>
    </row>
    <row r="511" spans="1:20" s="175" customFormat="1" ht="14.4" thickBot="1" x14ac:dyDescent="0.3">
      <c r="A511" s="189"/>
      <c r="B511" s="190"/>
      <c r="C511" s="191"/>
      <c r="D511" s="191"/>
      <c r="E511" s="192"/>
      <c r="F511" s="192"/>
      <c r="G511" s="192"/>
      <c r="H511" s="192"/>
      <c r="I511" s="192"/>
      <c r="J511" s="192"/>
      <c r="L511" s="193"/>
      <c r="M511" s="193"/>
      <c r="N511" s="193"/>
      <c r="O511" s="194"/>
    </row>
    <row r="512" spans="1:20" s="203" customFormat="1" ht="18" thickBot="1" x14ac:dyDescent="0.35">
      <c r="A512" s="202"/>
      <c r="B512" s="984" t="s">
        <v>241</v>
      </c>
      <c r="C512" s="985"/>
      <c r="D512" s="985"/>
      <c r="E512" s="985"/>
      <c r="F512" s="985"/>
      <c r="G512" s="985"/>
      <c r="H512" s="985"/>
      <c r="I512" s="985"/>
      <c r="J512" s="986"/>
      <c r="L512" s="204"/>
      <c r="M512" s="204"/>
      <c r="N512" s="204"/>
      <c r="O512" s="205"/>
    </row>
    <row r="513" spans="1:15" ht="6.75" customHeight="1" thickBot="1" x14ac:dyDescent="0.3"/>
    <row r="514" spans="1:15" s="198" customFormat="1" ht="16.2" thickBot="1" x14ac:dyDescent="0.35">
      <c r="A514" s="199"/>
      <c r="B514" s="984" t="s">
        <v>242</v>
      </c>
      <c r="C514" s="985"/>
      <c r="D514" s="985"/>
      <c r="E514" s="985"/>
      <c r="F514" s="985"/>
      <c r="G514" s="985"/>
      <c r="H514" s="985"/>
      <c r="I514" s="985"/>
      <c r="J514" s="986"/>
      <c r="L514" s="200"/>
      <c r="M514" s="200"/>
      <c r="N514" s="200"/>
      <c r="O514" s="201"/>
    </row>
    <row r="516" spans="1:15" ht="15" customHeight="1" x14ac:dyDescent="0.25">
      <c r="B516" s="987" t="str">
        <f>IF($B$497="Экспертное заключение ГОТОВО к печати"," Печать ЭЗ: меню Файл-Печать   или    комбинация клавиш  CTRL+P. ","")</f>
        <v/>
      </c>
      <c r="C516" s="987"/>
      <c r="D516" s="987"/>
      <c r="E516" s="987"/>
      <c r="F516" s="987"/>
      <c r="G516" s="987"/>
      <c r="H516" s="987"/>
      <c r="I516" s="987"/>
      <c r="J516" s="987"/>
    </row>
    <row r="517" spans="1:15" ht="15" customHeight="1" x14ac:dyDescent="0.25">
      <c r="B517" s="113"/>
      <c r="C517" s="982" t="str">
        <f>IF($B$497="Экспертное заключение ГОТОВО к печати"," Рекомендуется перед печатью выполнить Предварительный просмотр   (меню Файл)","")</f>
        <v/>
      </c>
      <c r="D517" s="982"/>
      <c r="E517" s="982"/>
      <c r="F517" s="982"/>
      <c r="G517" s="982"/>
      <c r="H517" s="982"/>
      <c r="I517" s="982"/>
      <c r="J517" s="982"/>
    </row>
    <row r="518" spans="1:15" ht="15" customHeight="1" x14ac:dyDescent="0.25">
      <c r="B518" s="206"/>
      <c r="C518" s="982"/>
      <c r="D518" s="982"/>
      <c r="E518" s="982"/>
      <c r="F518" s="982"/>
      <c r="G518" s="982"/>
      <c r="H518" s="982"/>
      <c r="I518" s="982"/>
      <c r="J518" s="982"/>
    </row>
    <row r="519" spans="1:15" ht="15.6" x14ac:dyDescent="0.25">
      <c r="B519" s="206"/>
      <c r="C519" s="206"/>
      <c r="D519" s="206"/>
      <c r="E519" s="206"/>
      <c r="F519" s="206"/>
      <c r="G519" s="206"/>
      <c r="H519" s="206"/>
      <c r="I519" s="206"/>
      <c r="J519" s="206"/>
    </row>
  </sheetData>
  <sheetProtection algorithmName="SHA-512" hashValue="rngrltamq7D4Q7YWRS47mYAZgdGwspNkrfMbFY1HgRqL4UDHen9pMdng8BxnLQa6coDdNnOydNlbC3EiXS4+lQ==" saltValue="YovlMYF66yixUfv7twzlHg==" spinCount="100000" sheet="1" objects="1" scenarios="1"/>
  <mergeCells count="622">
    <mergeCell ref="B108:J113"/>
    <mergeCell ref="C46:J46"/>
    <mergeCell ref="F459:I459"/>
    <mergeCell ref="F460:I460"/>
    <mergeCell ref="F130:J130"/>
    <mergeCell ref="F131:F136"/>
    <mergeCell ref="G131:H136"/>
    <mergeCell ref="I131:J136"/>
    <mergeCell ref="B444:E447"/>
    <mergeCell ref="E116:J116"/>
    <mergeCell ref="B411:D413"/>
    <mergeCell ref="B414:D415"/>
    <mergeCell ref="B416:D416"/>
    <mergeCell ref="B418:D420"/>
    <mergeCell ref="B417:D417"/>
    <mergeCell ref="B442:E442"/>
    <mergeCell ref="E412:J412"/>
    <mergeCell ref="B428:E428"/>
    <mergeCell ref="B429:E431"/>
    <mergeCell ref="B437:E441"/>
    <mergeCell ref="E164:E165"/>
    <mergeCell ref="B197:E199"/>
    <mergeCell ref="B200:E202"/>
    <mergeCell ref="E117:F117"/>
    <mergeCell ref="G117:H117"/>
    <mergeCell ref="I117:J117"/>
    <mergeCell ref="H168:H169"/>
    <mergeCell ref="I168:I169"/>
    <mergeCell ref="I195:J196"/>
    <mergeCell ref="E168:E169"/>
    <mergeCell ref="I203:J203"/>
    <mergeCell ref="G204:H205"/>
    <mergeCell ref="F206:J206"/>
    <mergeCell ref="I118:J118"/>
    <mergeCell ref="G118:H118"/>
    <mergeCell ref="I122:J123"/>
    <mergeCell ref="G121:H121"/>
    <mergeCell ref="I125:J126"/>
    <mergeCell ref="I124:J124"/>
    <mergeCell ref="G125:H126"/>
    <mergeCell ref="B130:E132"/>
    <mergeCell ref="B133:E134"/>
    <mergeCell ref="F139:F145"/>
    <mergeCell ref="G139:H141"/>
    <mergeCell ref="B144:E144"/>
    <mergeCell ref="G146:H147"/>
    <mergeCell ref="G122:H123"/>
    <mergeCell ref="E118:F118"/>
    <mergeCell ref="Q209:S209"/>
    <mergeCell ref="T209:V209"/>
    <mergeCell ref="I210:J211"/>
    <mergeCell ref="Q210:R211"/>
    <mergeCell ref="S210:T211"/>
    <mergeCell ref="Q206:V206"/>
    <mergeCell ref="F207:J207"/>
    <mergeCell ref="Q207:V207"/>
    <mergeCell ref="Q208:S208"/>
    <mergeCell ref="T208:V208"/>
    <mergeCell ref="P206:P208"/>
    <mergeCell ref="A206:A208"/>
    <mergeCell ref="A209:A211"/>
    <mergeCell ref="B219:J224"/>
    <mergeCell ref="G208:H208"/>
    <mergeCell ref="G210:H211"/>
    <mergeCell ref="B206:E208"/>
    <mergeCell ref="B209:E211"/>
    <mergeCell ref="F210:F211"/>
    <mergeCell ref="F198:F199"/>
    <mergeCell ref="G203:H203"/>
    <mergeCell ref="F204:F205"/>
    <mergeCell ref="G198:H199"/>
    <mergeCell ref="I198:J199"/>
    <mergeCell ref="I204:J205"/>
    <mergeCell ref="A191:A193"/>
    <mergeCell ref="G414:G418"/>
    <mergeCell ref="A414:A420"/>
    <mergeCell ref="E414:E418"/>
    <mergeCell ref="F414:F418"/>
    <mergeCell ref="E419:E420"/>
    <mergeCell ref="A396:A398"/>
    <mergeCell ref="E411:J411"/>
    <mergeCell ref="A194:A196"/>
    <mergeCell ref="G194:H194"/>
    <mergeCell ref="A197:A199"/>
    <mergeCell ref="G197:H197"/>
    <mergeCell ref="F419:F420"/>
    <mergeCell ref="A411:A413"/>
    <mergeCell ref="I200:J200"/>
    <mergeCell ref="F201:F202"/>
    <mergeCell ref="G201:H202"/>
    <mergeCell ref="I201:J202"/>
    <mergeCell ref="H414:H418"/>
    <mergeCell ref="F394:F395"/>
    <mergeCell ref="A200:A202"/>
    <mergeCell ref="G209:H209"/>
    <mergeCell ref="A203:A205"/>
    <mergeCell ref="A409:A410"/>
    <mergeCell ref="A160:A169"/>
    <mergeCell ref="B160:C169"/>
    <mergeCell ref="D160:D169"/>
    <mergeCell ref="I161:I162"/>
    <mergeCell ref="J161:J162"/>
    <mergeCell ref="G168:G169"/>
    <mergeCell ref="F168:F169"/>
    <mergeCell ref="J165:J166"/>
    <mergeCell ref="J168:J169"/>
    <mergeCell ref="A170:A172"/>
    <mergeCell ref="G170:J170"/>
    <mergeCell ref="G171:J171"/>
    <mergeCell ref="I119:J120"/>
    <mergeCell ref="I172:J172"/>
    <mergeCell ref="I142:J145"/>
    <mergeCell ref="B170:C172"/>
    <mergeCell ref="B151:J152"/>
    <mergeCell ref="B153:J155"/>
    <mergeCell ref="B145:E147"/>
    <mergeCell ref="F137:F138"/>
    <mergeCell ref="G137:H138"/>
    <mergeCell ref="I137:J138"/>
    <mergeCell ref="B149:I149"/>
    <mergeCell ref="I146:J147"/>
    <mergeCell ref="F146:F147"/>
    <mergeCell ref="B136:E138"/>
    <mergeCell ref="A157:A159"/>
    <mergeCell ref="B157:C159"/>
    <mergeCell ref="A139:A147"/>
    <mergeCell ref="B135:E135"/>
    <mergeCell ref="B143:E143"/>
    <mergeCell ref="A127:A129"/>
    <mergeCell ref="B127:E129"/>
    <mergeCell ref="E332:J332"/>
    <mergeCell ref="E333:J333"/>
    <mergeCell ref="F379:F380"/>
    <mergeCell ref="H379:H380"/>
    <mergeCell ref="G379:G380"/>
    <mergeCell ref="B309:D312"/>
    <mergeCell ref="B313:D313"/>
    <mergeCell ref="A130:A138"/>
    <mergeCell ref="J310:J312"/>
    <mergeCell ref="G182:H182"/>
    <mergeCell ref="I182:J182"/>
    <mergeCell ref="E183:F183"/>
    <mergeCell ref="H236:H239"/>
    <mergeCell ref="I236:I239"/>
    <mergeCell ref="B236:F239"/>
    <mergeCell ref="E184:F184"/>
    <mergeCell ref="G178:H179"/>
    <mergeCell ref="D173:F179"/>
    <mergeCell ref="G173:H177"/>
    <mergeCell ref="I173:J177"/>
    <mergeCell ref="G172:H172"/>
    <mergeCell ref="I178:J179"/>
    <mergeCell ref="A173:A179"/>
    <mergeCell ref="D170:F172"/>
    <mergeCell ref="I419:I420"/>
    <mergeCell ref="B405:C407"/>
    <mergeCell ref="A37:J38"/>
    <mergeCell ref="A102:J102"/>
    <mergeCell ref="D47:F47"/>
    <mergeCell ref="G47:J47"/>
    <mergeCell ref="A46:B46"/>
    <mergeCell ref="A42:B42"/>
    <mergeCell ref="C42:J43"/>
    <mergeCell ref="C45:J45"/>
    <mergeCell ref="G49:H49"/>
    <mergeCell ref="E49:F49"/>
    <mergeCell ref="A49:D49"/>
    <mergeCell ref="B96:I96"/>
    <mergeCell ref="D99:E99"/>
    <mergeCell ref="F99:I99"/>
    <mergeCell ref="A47:C47"/>
    <mergeCell ref="B103:I103"/>
    <mergeCell ref="A180:A182"/>
    <mergeCell ref="B180:C182"/>
    <mergeCell ref="A121:A123"/>
    <mergeCell ref="D180:J180"/>
    <mergeCell ref="A124:A126"/>
    <mergeCell ref="G124:H124"/>
    <mergeCell ref="G419:G420"/>
    <mergeCell ref="B399:C401"/>
    <mergeCell ref="H232:H235"/>
    <mergeCell ref="B203:E205"/>
    <mergeCell ref="B459:E459"/>
    <mergeCell ref="B497:J497"/>
    <mergeCell ref="F486:J486"/>
    <mergeCell ref="A469:C470"/>
    <mergeCell ref="A183:A188"/>
    <mergeCell ref="B183:C188"/>
    <mergeCell ref="G184:H184"/>
    <mergeCell ref="I184:J184"/>
    <mergeCell ref="A236:A239"/>
    <mergeCell ref="G236:G239"/>
    <mergeCell ref="A399:A401"/>
    <mergeCell ref="A423:A424"/>
    <mergeCell ref="A425:A427"/>
    <mergeCell ref="F425:J425"/>
    <mergeCell ref="F426:J426"/>
    <mergeCell ref="I427:J427"/>
    <mergeCell ref="B423:J424"/>
    <mergeCell ref="B425:E427"/>
    <mergeCell ref="B382:C382"/>
    <mergeCell ref="H419:H420"/>
    <mergeCell ref="I307:I308"/>
    <mergeCell ref="H259:H262"/>
    <mergeCell ref="I259:I262"/>
    <mergeCell ref="H268:H272"/>
    <mergeCell ref="I273:I277"/>
    <mergeCell ref="J273:J277"/>
    <mergeCell ref="I268:I272"/>
    <mergeCell ref="J294:J295"/>
    <mergeCell ref="G256:J256"/>
    <mergeCell ref="H299:H300"/>
    <mergeCell ref="A335:A342"/>
    <mergeCell ref="B318:C320"/>
    <mergeCell ref="A321:A329"/>
    <mergeCell ref="B321:C329"/>
    <mergeCell ref="A332:A334"/>
    <mergeCell ref="B335:C342"/>
    <mergeCell ref="B331:C331"/>
    <mergeCell ref="A318:A320"/>
    <mergeCell ref="D318:D320"/>
    <mergeCell ref="D335:D342"/>
    <mergeCell ref="D321:D329"/>
    <mergeCell ref="B332:C334"/>
    <mergeCell ref="D332:D334"/>
    <mergeCell ref="A115:A117"/>
    <mergeCell ref="E122:F123"/>
    <mergeCell ref="E115:J115"/>
    <mergeCell ref="E121:F121"/>
    <mergeCell ref="D181:J181"/>
    <mergeCell ref="A240:A244"/>
    <mergeCell ref="A229:A235"/>
    <mergeCell ref="B240:F244"/>
    <mergeCell ref="B118:D120"/>
    <mergeCell ref="B121:D123"/>
    <mergeCell ref="B124:D126"/>
    <mergeCell ref="B191:E193"/>
    <mergeCell ref="B194:E196"/>
    <mergeCell ref="E182:F182"/>
    <mergeCell ref="E124:F124"/>
    <mergeCell ref="B179:C179"/>
    <mergeCell ref="B173:C178"/>
    <mergeCell ref="B190:C190"/>
    <mergeCell ref="D157:D159"/>
    <mergeCell ref="E157:J157"/>
    <mergeCell ref="E158:J158"/>
    <mergeCell ref="G193:H193"/>
    <mergeCell ref="I193:J193"/>
    <mergeCell ref="G119:H120"/>
    <mergeCell ref="A290:A292"/>
    <mergeCell ref="A245:A248"/>
    <mergeCell ref="B249:F252"/>
    <mergeCell ref="G229:J229"/>
    <mergeCell ref="G230:J230"/>
    <mergeCell ref="I245:I248"/>
    <mergeCell ref="A263:A267"/>
    <mergeCell ref="H263:H267"/>
    <mergeCell ref="B263:F267"/>
    <mergeCell ref="G263:G267"/>
    <mergeCell ref="B268:F272"/>
    <mergeCell ref="I263:I267"/>
    <mergeCell ref="J263:J267"/>
    <mergeCell ref="J259:J262"/>
    <mergeCell ref="A249:A252"/>
    <mergeCell ref="J249:J252"/>
    <mergeCell ref="B253:I253"/>
    <mergeCell ref="I249:I252"/>
    <mergeCell ref="H249:H252"/>
    <mergeCell ref="G249:G252"/>
    <mergeCell ref="B290:C292"/>
    <mergeCell ref="A301:A308"/>
    <mergeCell ref="E309:E315"/>
    <mergeCell ref="A118:A120"/>
    <mergeCell ref="B105:J107"/>
    <mergeCell ref="A309:A317"/>
    <mergeCell ref="D301:D308"/>
    <mergeCell ref="E301:E306"/>
    <mergeCell ref="B301:C308"/>
    <mergeCell ref="I139:J141"/>
    <mergeCell ref="G142:H145"/>
    <mergeCell ref="A293:A300"/>
    <mergeCell ref="B293:C296"/>
    <mergeCell ref="B297:C300"/>
    <mergeCell ref="F299:F300"/>
    <mergeCell ref="J299:J300"/>
    <mergeCell ref="D290:D292"/>
    <mergeCell ref="E291:J291"/>
    <mergeCell ref="D293:D300"/>
    <mergeCell ref="G299:G300"/>
    <mergeCell ref="G232:G235"/>
    <mergeCell ref="E299:E300"/>
    <mergeCell ref="E316:E317"/>
    <mergeCell ref="I316:I317"/>
    <mergeCell ref="G240:G244"/>
    <mergeCell ref="A36:J36"/>
    <mergeCell ref="D343:D351"/>
    <mergeCell ref="E373:E378"/>
    <mergeCell ref="E361:E362"/>
    <mergeCell ref="A370:A372"/>
    <mergeCell ref="A343:A351"/>
    <mergeCell ref="A355:A362"/>
    <mergeCell ref="D373:D380"/>
    <mergeCell ref="B370:C372"/>
    <mergeCell ref="A352:A354"/>
    <mergeCell ref="D352:D354"/>
    <mergeCell ref="E335:E340"/>
    <mergeCell ref="E341:E342"/>
    <mergeCell ref="F341:F342"/>
    <mergeCell ref="E343:E349"/>
    <mergeCell ref="G365:H365"/>
    <mergeCell ref="F350:F351"/>
    <mergeCell ref="G361:G362"/>
    <mergeCell ref="E352:J352"/>
    <mergeCell ref="E353:J353"/>
    <mergeCell ref="F361:F362"/>
    <mergeCell ref="A101:J101"/>
    <mergeCell ref="F307:F308"/>
    <mergeCell ref="B355:C362"/>
    <mergeCell ref="M32:N32"/>
    <mergeCell ref="N249:N252"/>
    <mergeCell ref="D370:D372"/>
    <mergeCell ref="J394:J395"/>
    <mergeCell ref="E371:J371"/>
    <mergeCell ref="I367:J367"/>
    <mergeCell ref="N263:N267"/>
    <mergeCell ref="A448:A453"/>
    <mergeCell ref="B461:E461"/>
    <mergeCell ref="B460:E460"/>
    <mergeCell ref="M240:M244"/>
    <mergeCell ref="L245:L248"/>
    <mergeCell ref="M245:M248"/>
    <mergeCell ref="B422:C422"/>
    <mergeCell ref="G435:G436"/>
    <mergeCell ref="J379:J380"/>
    <mergeCell ref="I379:I380"/>
    <mergeCell ref="B402:C404"/>
    <mergeCell ref="F404:G404"/>
    <mergeCell ref="A402:A404"/>
    <mergeCell ref="A437:A447"/>
    <mergeCell ref="G446:G447"/>
    <mergeCell ref="G367:H367"/>
    <mergeCell ref="A383:A385"/>
    <mergeCell ref="C517:J518"/>
    <mergeCell ref="B506:D506"/>
    <mergeCell ref="B507:D507"/>
    <mergeCell ref="B509:E509"/>
    <mergeCell ref="B512:J512"/>
    <mergeCell ref="B514:J514"/>
    <mergeCell ref="B516:J516"/>
    <mergeCell ref="H406:J407"/>
    <mergeCell ref="E406:E407"/>
    <mergeCell ref="A484:J484"/>
    <mergeCell ref="B479:E479"/>
    <mergeCell ref="F477:J477"/>
    <mergeCell ref="F475:J475"/>
    <mergeCell ref="F471:J471"/>
    <mergeCell ref="A492:J495"/>
    <mergeCell ref="D486:E486"/>
    <mergeCell ref="F473:J473"/>
    <mergeCell ref="A428:A436"/>
    <mergeCell ref="A405:A407"/>
    <mergeCell ref="B409:I410"/>
    <mergeCell ref="F406:G407"/>
    <mergeCell ref="H405:J405"/>
    <mergeCell ref="F405:G405"/>
    <mergeCell ref="B505:D505"/>
    <mergeCell ref="B502:D502"/>
    <mergeCell ref="B503:D503"/>
    <mergeCell ref="B498:D498"/>
    <mergeCell ref="B499:D499"/>
    <mergeCell ref="B500:D500"/>
    <mergeCell ref="B501:D501"/>
    <mergeCell ref="B504:D504"/>
    <mergeCell ref="N268:N272"/>
    <mergeCell ref="M273:M277"/>
    <mergeCell ref="N273:N277"/>
    <mergeCell ref="B352:C354"/>
    <mergeCell ref="B373:C380"/>
    <mergeCell ref="N493:S493"/>
    <mergeCell ref="O468:S468"/>
    <mergeCell ref="D402:D404"/>
    <mergeCell ref="E293:E297"/>
    <mergeCell ref="B383:C385"/>
    <mergeCell ref="E370:J370"/>
    <mergeCell ref="F364:J364"/>
    <mergeCell ref="I366:J366"/>
    <mergeCell ref="B366:C369"/>
    <mergeCell ref="D383:D385"/>
    <mergeCell ref="B283:F287"/>
    <mergeCell ref="B455:C455"/>
    <mergeCell ref="F448:F451"/>
    <mergeCell ref="B434:E436"/>
    <mergeCell ref="B443:E443"/>
    <mergeCell ref="B451:E451"/>
    <mergeCell ref="B448:E448"/>
    <mergeCell ref="B450:E450"/>
    <mergeCell ref="I466:J466"/>
    <mergeCell ref="I446:J447"/>
    <mergeCell ref="B464:G464"/>
    <mergeCell ref="F446:F447"/>
    <mergeCell ref="F461:I461"/>
    <mergeCell ref="F452:F453"/>
    <mergeCell ref="I452:J453"/>
    <mergeCell ref="G448:G451"/>
    <mergeCell ref="H448:H451"/>
    <mergeCell ref="I448:J451"/>
    <mergeCell ref="H452:H453"/>
    <mergeCell ref="G452:G453"/>
    <mergeCell ref="B452:E453"/>
    <mergeCell ref="I435:J436"/>
    <mergeCell ref="I437:J445"/>
    <mergeCell ref="H446:H447"/>
    <mergeCell ref="H435:H436"/>
    <mergeCell ref="F428:F434"/>
    <mergeCell ref="A373:A380"/>
    <mergeCell ref="D396:D398"/>
    <mergeCell ref="E394:E395"/>
    <mergeCell ref="E403:J403"/>
    <mergeCell ref="I400:J401"/>
    <mergeCell ref="E400:E401"/>
    <mergeCell ref="I398:J398"/>
    <mergeCell ref="G400:G401"/>
    <mergeCell ref="I394:I395"/>
    <mergeCell ref="D386:D395"/>
    <mergeCell ref="A386:A395"/>
    <mergeCell ref="B390:C395"/>
    <mergeCell ref="I399:J399"/>
    <mergeCell ref="D399:D401"/>
    <mergeCell ref="E379:E380"/>
    <mergeCell ref="A363:A365"/>
    <mergeCell ref="B363:C365"/>
    <mergeCell ref="D366:E369"/>
    <mergeCell ref="F363:J363"/>
    <mergeCell ref="D363:E365"/>
    <mergeCell ref="E355:E360"/>
    <mergeCell ref="A278:A282"/>
    <mergeCell ref="A268:A272"/>
    <mergeCell ref="A283:A287"/>
    <mergeCell ref="A273:A277"/>
    <mergeCell ref="G273:G277"/>
    <mergeCell ref="H273:H277"/>
    <mergeCell ref="G307:G308"/>
    <mergeCell ref="H316:H317"/>
    <mergeCell ref="F368:F369"/>
    <mergeCell ref="I283:I287"/>
    <mergeCell ref="G316:G317"/>
    <mergeCell ref="G283:G287"/>
    <mergeCell ref="I299:I300"/>
    <mergeCell ref="E290:J290"/>
    <mergeCell ref="A366:A369"/>
    <mergeCell ref="H361:H362"/>
    <mergeCell ref="I361:I362"/>
    <mergeCell ref="I365:J365"/>
    <mergeCell ref="N283:N287"/>
    <mergeCell ref="B288:I288"/>
    <mergeCell ref="E321:E327"/>
    <mergeCell ref="G328:G329"/>
    <mergeCell ref="J302:J304"/>
    <mergeCell ref="L273:L277"/>
    <mergeCell ref="B273:F277"/>
    <mergeCell ref="M263:M267"/>
    <mergeCell ref="M268:M272"/>
    <mergeCell ref="J268:J272"/>
    <mergeCell ref="M283:M287"/>
    <mergeCell ref="J283:J287"/>
    <mergeCell ref="H283:H287"/>
    <mergeCell ref="G268:G272"/>
    <mergeCell ref="E319:J319"/>
    <mergeCell ref="E328:E329"/>
    <mergeCell ref="E318:J318"/>
    <mergeCell ref="I328:I329"/>
    <mergeCell ref="H328:H329"/>
    <mergeCell ref="B314:D317"/>
    <mergeCell ref="L283:L287"/>
    <mergeCell ref="F328:F329"/>
    <mergeCell ref="J328:J329"/>
    <mergeCell ref="B278:F282"/>
    <mergeCell ref="J341:J342"/>
    <mergeCell ref="J316:J317"/>
    <mergeCell ref="H307:H308"/>
    <mergeCell ref="B432:E432"/>
    <mergeCell ref="E383:J383"/>
    <mergeCell ref="E384:J384"/>
    <mergeCell ref="G366:H366"/>
    <mergeCell ref="G350:G351"/>
    <mergeCell ref="H350:H351"/>
    <mergeCell ref="E350:E351"/>
    <mergeCell ref="I350:I351"/>
    <mergeCell ref="B343:C351"/>
    <mergeCell ref="B386:C389"/>
    <mergeCell ref="B396:C398"/>
    <mergeCell ref="E397:J397"/>
    <mergeCell ref="F400:F401"/>
    <mergeCell ref="I428:J428"/>
    <mergeCell ref="I341:I342"/>
    <mergeCell ref="I429:J434"/>
    <mergeCell ref="E307:E308"/>
    <mergeCell ref="F316:F317"/>
    <mergeCell ref="I368:J369"/>
    <mergeCell ref="G394:G395"/>
    <mergeCell ref="J307:J308"/>
    <mergeCell ref="F437:F445"/>
    <mergeCell ref="J361:J362"/>
    <mergeCell ref="J350:J351"/>
    <mergeCell ref="E396:J396"/>
    <mergeCell ref="H404:J404"/>
    <mergeCell ref="H400:H401"/>
    <mergeCell ref="E402:J402"/>
    <mergeCell ref="G341:G342"/>
    <mergeCell ref="H341:H342"/>
    <mergeCell ref="H394:H395"/>
    <mergeCell ref="E386:E393"/>
    <mergeCell ref="G437:G445"/>
    <mergeCell ref="H437:H445"/>
    <mergeCell ref="B433:E433"/>
    <mergeCell ref="D355:D362"/>
    <mergeCell ref="F366:F367"/>
    <mergeCell ref="G368:H369"/>
    <mergeCell ref="F435:F436"/>
    <mergeCell ref="G428:G434"/>
    <mergeCell ref="H428:H434"/>
    <mergeCell ref="D405:D407"/>
    <mergeCell ref="J419:J420"/>
    <mergeCell ref="I414:I418"/>
    <mergeCell ref="J414:J418"/>
    <mergeCell ref="N278:N282"/>
    <mergeCell ref="B213:J213"/>
    <mergeCell ref="G278:G282"/>
    <mergeCell ref="H278:H282"/>
    <mergeCell ref="I278:I282"/>
    <mergeCell ref="J278:J282"/>
    <mergeCell ref="L278:L282"/>
    <mergeCell ref="M278:M282"/>
    <mergeCell ref="G259:G262"/>
    <mergeCell ref="L263:L267"/>
    <mergeCell ref="L268:L272"/>
    <mergeCell ref="B256:F258"/>
    <mergeCell ref="B259:F262"/>
    <mergeCell ref="A254:J254"/>
    <mergeCell ref="A256:A262"/>
    <mergeCell ref="G257:J257"/>
    <mergeCell ref="H240:H244"/>
    <mergeCell ref="I240:I244"/>
    <mergeCell ref="J240:J244"/>
    <mergeCell ref="G245:G248"/>
    <mergeCell ref="H245:H248"/>
    <mergeCell ref="L240:L244"/>
    <mergeCell ref="N240:N244"/>
    <mergeCell ref="M236:M239"/>
    <mergeCell ref="F86:I86"/>
    <mergeCell ref="A76:C76"/>
    <mergeCell ref="D76:G76"/>
    <mergeCell ref="C80:J82"/>
    <mergeCell ref="A66:J68"/>
    <mergeCell ref="A69:I69"/>
    <mergeCell ref="A73:H73"/>
    <mergeCell ref="B95:I95"/>
    <mergeCell ref="B245:F248"/>
    <mergeCell ref="I121:J121"/>
    <mergeCell ref="I194:J194"/>
    <mergeCell ref="F195:F196"/>
    <mergeCell ref="G195:H196"/>
    <mergeCell ref="J232:J235"/>
    <mergeCell ref="I197:J197"/>
    <mergeCell ref="G200:H200"/>
    <mergeCell ref="I208:J208"/>
    <mergeCell ref="G186:H186"/>
    <mergeCell ref="I186:J186"/>
    <mergeCell ref="D187:D188"/>
    <mergeCell ref="E187:F188"/>
    <mergeCell ref="G187:H188"/>
    <mergeCell ref="B229:F235"/>
    <mergeCell ref="B115:D117"/>
    <mergeCell ref="B1:E1"/>
    <mergeCell ref="F1:I1"/>
    <mergeCell ref="F88:I88"/>
    <mergeCell ref="F90:I90"/>
    <mergeCell ref="A92:F92"/>
    <mergeCell ref="G92:I92"/>
    <mergeCell ref="A65:I65"/>
    <mergeCell ref="A61:J63"/>
    <mergeCell ref="A84:C85"/>
    <mergeCell ref="A86:C87"/>
    <mergeCell ref="G50:H50"/>
    <mergeCell ref="A51:B51"/>
    <mergeCell ref="C51:F51"/>
    <mergeCell ref="A53:J56"/>
    <mergeCell ref="A59:E59"/>
    <mergeCell ref="A60:I60"/>
    <mergeCell ref="A34:J34"/>
    <mergeCell ref="D41:J41"/>
    <mergeCell ref="E50:F50"/>
    <mergeCell ref="A50:D50"/>
    <mergeCell ref="A45:B45"/>
    <mergeCell ref="A41:C41"/>
    <mergeCell ref="A48:D48"/>
    <mergeCell ref="I49:J49"/>
    <mergeCell ref="N245:N248"/>
    <mergeCell ref="J236:J239"/>
    <mergeCell ref="P209:P211"/>
    <mergeCell ref="I209:J209"/>
    <mergeCell ref="J245:J248"/>
    <mergeCell ref="N236:N239"/>
    <mergeCell ref="L236:L239"/>
    <mergeCell ref="I232:I235"/>
    <mergeCell ref="B215:J218"/>
    <mergeCell ref="B226:C226"/>
    <mergeCell ref="G183:H183"/>
    <mergeCell ref="I183:J183"/>
    <mergeCell ref="I187:J188"/>
    <mergeCell ref="F191:J191"/>
    <mergeCell ref="F192:J192"/>
    <mergeCell ref="E186:F186"/>
    <mergeCell ref="E125:F126"/>
    <mergeCell ref="E119:F120"/>
    <mergeCell ref="M249:M252"/>
    <mergeCell ref="L249:L252"/>
    <mergeCell ref="F127:J127"/>
    <mergeCell ref="F128:J128"/>
    <mergeCell ref="G129:H129"/>
    <mergeCell ref="I129:J129"/>
    <mergeCell ref="B139:E142"/>
  </mergeCells>
  <phoneticPr fontId="11" type="noConversion"/>
  <conditionalFormatting sqref="B497:J497">
    <cfRule type="cellIs" dxfId="15" priority="4" stopIfTrue="1" operator="equal">
      <formula>"ЭЗ не готово к печати"</formula>
    </cfRule>
    <cfRule type="cellIs" dxfId="14" priority="5" stopIfTrue="1" operator="equal">
      <formula>"Экспертное заключение ГОТОВО к печати"</formula>
    </cfRule>
  </conditionalFormatting>
  <conditionalFormatting sqref="E470:E478 F480:F482 G479:J482 E85:E91 I93 G93">
    <cfRule type="cellIs" dxfId="13" priority="6" stopIfTrue="1" operator="notEqual">
      <formula>"« __ » ___________  20__ г."</formula>
    </cfRule>
  </conditionalFormatting>
  <conditionalFormatting sqref="F470 F472 F474 F476 F85 F87 F89">
    <cfRule type="cellIs" dxfId="12" priority="7" stopIfTrue="1" operator="equal">
      <formula>"нет данных"</formula>
    </cfRule>
  </conditionalFormatting>
  <conditionalFormatting sqref="E466">
    <cfRule type="cellIs" dxfId="11" priority="8" stopIfTrue="1" operator="equal">
      <formula>"уточните должность"</formula>
    </cfRule>
    <cfRule type="expression" dxfId="10" priority="9" stopIfTrue="1">
      <formula>LEN($E$466)&gt;28</formula>
    </cfRule>
  </conditionalFormatting>
  <conditionalFormatting sqref="G263:G287">
    <cfRule type="expression" dxfId="9" priority="16" stopIfTrue="1">
      <formula>NOT(ISERROR(SEARCH("Не",G263)))</formula>
    </cfRule>
  </conditionalFormatting>
  <conditionalFormatting sqref="B263 B268 B273 B283 B278">
    <cfRule type="expression" dxfId="8" priority="17" stopIfTrue="1">
      <formula>$E$50="первая"</formula>
    </cfRule>
  </conditionalFormatting>
  <conditionalFormatting sqref="B95:I97">
    <cfRule type="cellIs" dxfId="7" priority="26" stopIfTrue="1" operator="equal">
      <formula>" "</formula>
    </cfRule>
  </conditionalFormatting>
  <conditionalFormatting sqref="D76 C77 I73">
    <cfRule type="cellIs" dxfId="6" priority="27" stopIfTrue="1" operator="equal">
      <formula>"уточните должность"</formula>
    </cfRule>
  </conditionalFormatting>
  <conditionalFormatting sqref="G92:I92">
    <cfRule type="cellIs" dxfId="5" priority="28" stopIfTrue="1" operator="notEqual">
      <formula>"« __ » ___________  20__ г."</formula>
    </cfRule>
  </conditionalFormatting>
  <dataValidations count="52">
    <dataValidation allowBlank="1" showInputMessage="1" showErrorMessage="1" promptTitle="Внимание!" prompt="Введите данные на листе _x000a_&quot;Общие сведения&quot;" sqref="F485:F489 F476:J476 G470:J470 G472:J472 A479:B482 F474:J474 F480:G482 G479 H479:J482 F470:F473 F475 F477:F478 I93 C57:I58 AT53:BE58 G92:G93 F98:F99 A90:A93 F85:I85 F87:I87 F89:I89 F86 F88 F90:F91 F77 A57:B57 A53 A61"/>
    <dataValidation type="whole" allowBlank="1" showInputMessage="1" showErrorMessage="1" sqref="L490">
      <formula1>1</formula1>
      <formula2>31</formula2>
    </dataValidation>
    <dataValidation type="list" allowBlank="1" showInputMessage="1" showErrorMessage="1" sqref="N49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92:J495"/>
    <dataValidation allowBlank="1" showInputMessage="1" showErrorMessage="1" promptTitle="Внимание!" prompt="Введите должность на листе_x000a_&quot;Общие сведения&quot;" sqref="D466:F466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H464"/>
    <dataValidation type="list" allowBlank="1" showInputMessage="1" showErrorMessage="1" sqref="G452 H408:I408 G419 G435 G446 I137:J138 J361:J362">
      <formula1>"100, "</formula1>
    </dataValidation>
    <dataValidation type="list" allowBlank="1" showInputMessage="1" showErrorMessage="1" sqref="H452 H419 H446 H435">
      <formula1>"200, "</formula1>
    </dataValidation>
    <dataValidation type="list" allowBlank="1" showInputMessage="1" showErrorMessage="1" sqref="I452 I419 I435 I178 I446">
      <formula1>"300, "</formula1>
    </dataValidation>
    <dataValidation type="list" allowBlank="1" showInputMessage="1" showErrorMessage="1" sqref="F419 I368:J369 G137:H138 H361:H362">
      <formula1>"50, "</formula1>
    </dataValidation>
    <dataValidation type="list" allowBlank="1" showInputMessage="1" showErrorMessage="1" sqref="F408 F400">
      <formula1>"10, "</formula1>
    </dataValidation>
    <dataValidation type="list" allowBlank="1" showInputMessage="1" showErrorMessage="1" sqref="G408 G361:G362">
      <formula1>"40, "</formula1>
    </dataValidation>
    <dataValidation type="list" allowBlank="1" showInputMessage="1" showErrorMessage="1" sqref="J419">
      <formula1>"150, "</formula1>
    </dataValidation>
    <dataValidation type="list" allowBlank="1" showInputMessage="1" showErrorMessage="1" sqref="H236:H252 F379:F380">
      <formula1>"10, 20, "</formula1>
    </dataValidation>
    <dataValidation type="list" allowBlank="1" showInputMessage="1" showErrorMessage="1" sqref="I236:I252 I379:I380">
      <formula1>"30, 40, "</formula1>
    </dataValidation>
    <dataValidation type="list" allowBlank="1" showInputMessage="1" showErrorMessage="1" sqref="J240 J249 J245 J236">
      <formula1>"50, 60, "</formula1>
    </dataValidation>
    <dataValidation type="list" allowBlank="1" showInputMessage="1" showErrorMessage="1" sqref="F350:F351 F394:F395 F341:F342 F328:F329 F316:F317 F307:F308 F299:F300 E187 E168:E169">
      <formula1>"10, 20, 30, "</formula1>
    </dataValidation>
    <dataValidation type="list" allowBlank="1" showInputMessage="1" showErrorMessage="1" sqref="H350 H341 H328 H316 H307 H299 I187">
      <formula1>"50, 60, 70, "</formula1>
    </dataValidation>
    <dataValidation type="list" allowBlank="1" showInputMessage="1" showErrorMessage="1" sqref="G350:G351 G341:G342 G328:G329 G316:G317 G307:G308 G299:G300 G187">
      <formula1>"30, 40, 50, "</formula1>
    </dataValidation>
    <dataValidation type="list" allowBlank="1" showInputMessage="1" showErrorMessage="1" sqref="G400:H400">
      <formula1>"20, "</formula1>
    </dataValidation>
    <dataValidation type="list" allowBlank="1" showInputMessage="1" showErrorMessage="1" sqref="G394:G395">
      <formula1>"20, 30, 50, "</formula1>
    </dataValidation>
    <dataValidation type="list" allowBlank="1" showInputMessage="1" showErrorMessage="1" sqref="H394:H395 G168:G169">
      <formula1>"30, 50, 60, 70, "</formula1>
    </dataValidation>
    <dataValidation type="list" allowBlank="1" showInputMessage="1" showErrorMessage="1" sqref="I394:I395">
      <formula1>"40, 70, 80, 90, 100, "</formula1>
    </dataValidation>
    <dataValidation type="list" allowBlank="1" showInputMessage="1" showErrorMessage="1" sqref="J394">
      <formula1>"50, 100, 120, 140, 150,  "</formula1>
    </dataValidation>
    <dataValidation type="list" allowBlank="1" showInputMessage="1" showErrorMessage="1" sqref="H379:H380">
      <formula1>"20, 30, "</formula1>
    </dataValidation>
    <dataValidation type="list" allowBlank="1" showInputMessage="1" showErrorMessage="1" sqref="I400:J401">
      <formula1>"10,20,30,40,50,60,70,80,90,100, 110,120,130,140,150,160,170,180,190,200, "</formula1>
    </dataValidation>
    <dataValidation type="list" allowBlank="1" showInputMessage="1" showErrorMessage="1" sqref="J379">
      <formula1>"40, 50, "</formula1>
    </dataValidation>
    <dataValidation type="list" allowBlank="1" showInputMessage="1" showErrorMessage="1" sqref="G379:G380">
      <formula1>"10, 30, "</formula1>
    </dataValidation>
    <dataValidation type="list" allowBlank="1" showInputMessage="1" showErrorMessage="1" sqref="H406:J407">
      <formula1>"300, 400, 500, "</formula1>
    </dataValidation>
    <dataValidation type="list" allowBlank="1" showInputMessage="1" showErrorMessage="1" sqref="F406:G407">
      <formula1>"100, 150, 200, 250, "</formula1>
    </dataValidation>
    <dataValidation type="list" allowBlank="1" showInputMessage="1" showErrorMessage="1" sqref="G368:H369 F361:F362">
      <formula1>"30, "</formula1>
    </dataValidation>
    <dataValidation type="list" allowBlank="1" showInputMessage="1" showErrorMessage="1" sqref="I341:I342 I350:I351 I328:I329 I316:I317 I307:I308 I299:I300">
      <formula1>"70, 80, 90, "</formula1>
    </dataValidation>
    <dataValidation type="list" allowBlank="1" showInputMessage="1" showErrorMessage="1" sqref="J350 J307 J341 J328 J316 J299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63 J268 J273 J283 J27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63 I268 I273 I283 I27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63 H268 H273 H283 H278">
      <formula1>"10, 20, 30, "</formula1>
    </dataValidation>
    <dataValidation type="list" allowBlank="1" showInputMessage="1" showErrorMessage="1" sqref="S210 I210">
      <formula1>"150, 200, "</formula1>
    </dataValidation>
    <dataValidation type="list" allowBlank="1" showInputMessage="1" showErrorMessage="1" sqref="Q210 G210">
      <formula1>"50, 100, "</formula1>
    </dataValidation>
    <dataValidation type="list" allowBlank="1" showInputMessage="1" showErrorMessage="1" sqref="G195:H196 G198:H199 G201:H202 G119:H120 G122:H123 G125 F148:G148">
      <formula1>"10, 20, 30, 40, 50, "</formula1>
    </dataValidation>
    <dataValidation type="list" allowBlank="1" showInputMessage="1" showErrorMessage="1" sqref="I195:J196 I198:J199 I201:J202 I119:J120 I122:J123 I125 H148:I148">
      <formula1>"60, 70, 80, 90, 100, "</formula1>
    </dataValidation>
    <dataValidation type="list" allowBlank="1" showInputMessage="1" showErrorMessage="1" sqref="G204:H205">
      <formula1>"10,20,30,40,50,  "</formula1>
    </dataValidation>
    <dataValidation type="list" allowBlank="1" showInputMessage="1" showErrorMessage="1" sqref="I204:J205">
      <formula1>"60,70,80,90,100, "</formula1>
    </dataValidation>
    <dataValidation type="list" allowBlank="1" showInputMessage="1" showErrorMessage="1" sqref="I168:I169">
      <formula1>"70, 100, 130, 150"</formula1>
    </dataValidation>
    <dataValidation type="list" allowBlank="1" showInputMessage="1" showErrorMessage="1" sqref="H168:H169">
      <formula1>"40, 60, 80, 100, "</formula1>
    </dataValidation>
    <dataValidation type="list" allowBlank="1" showInputMessage="1" showErrorMessage="1" sqref="F168:F169">
      <formula1>"20, 30, 40, 50, "</formula1>
    </dataValidation>
    <dataValidation type="list" allowBlank="1" showInputMessage="1" showErrorMessage="1" sqref="J168">
      <formula1>"100, 170, 200, "</formula1>
    </dataValidation>
    <dataValidation type="list" allowBlank="1" showInputMessage="1" showErrorMessage="1" sqref="I146:J147">
      <formula1>"70, 120, "</formula1>
    </dataValidation>
    <dataValidation type="list" allowBlank="1" showInputMessage="1" showErrorMessage="1" sqref="G146:H147">
      <formula1>"50, 100,"</formula1>
    </dataValidation>
    <dataValidation errorStyle="information" allowBlank="1" showInputMessage="1" showErrorMessage="1" promptTitle="Внимание!" prompt="Введите данные на листе _x000a_&quot;Общие сведения&quot;" sqref="A47:A48 B47 A41:H45 I41:J48 E48:F48 G46:H48 C46:F47 F59 G51:I51 G49:I49 A49:F51 G50 I50:J50"/>
    <dataValidation allowBlank="1" showInputMessage="1" showErrorMessage="1" promptTitle="Внимание!" prompt="Введите должность на листе_x000a_&quot;Общие сведения&quot;_x000a_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в   п.  1  и  2      _x000a_ -  0 баллов_x000a_" sqref="C80:J82"/>
    <dataValidation type="list" allowBlank="1" showInputMessage="1" showErrorMessage="1" sqref="I361:I362">
      <formula1>"70, "</formula1>
    </dataValidation>
  </dataValidations>
  <hyperlinks>
    <hyperlink ref="B512:I512" location="'общие сведения'!B2" tooltip="Щелкните, чтобы перейти по ссылке" display="вернуться на лист 'общие сведения'"/>
    <hyperlink ref="B514:I514" location="ЭЗ!A1" tooltip="Щелкните, чтобы перейти по ссылке" display="в начало Экспертного заключения"/>
    <hyperlink ref="B498" location="'общие сведения'!C17" display="Фамилия, имя, отчество "/>
    <hyperlink ref="B501" location="'общие сведения'!G19" display="Муниципальное образование "/>
    <hyperlink ref="B501:D501" location="'общие сведения'!G21" tooltip="Щелкните, чтобы перейти по ссылке" display="Муниципальное образование "/>
    <hyperlink ref="B499:D499" location="'общие сведения'!C23" tooltip="Щелкните, чтобы перейти по ссылке" display="Место работы"/>
    <hyperlink ref="B500:D500" location="'общие сведения'!C26" tooltip="Щелкните, чтобы перейти по ссылке" display="Должность "/>
    <hyperlink ref="B502:D502" location="'общие сведения'!D34" tooltip="Щелкните, чтобы перейти по ссылке" display="Стаж педагогической работы"/>
    <hyperlink ref="B503:D503" location="'общие сведения'!D35" tooltip="Щелкните, чтобы перейти по ссылке" display="Наличие квалификационной категории"/>
    <hyperlink ref="B504:D504" location="'общие сведения'!I35" tooltip="Щелкните, чтобы перейти по ссылке" display="дата присвоения"/>
    <hyperlink ref="B505:D505" location="'общие сведения'!D37" tooltip="Щелкните, чтобы перейти по ссылке" display="Заявленная квалификационная категория"/>
    <hyperlink ref="B506:D506" location="'общие сведения'!C67" tooltip="Щелкните, чтобы перейти по ссылке" display="Председатель экспертной группы"/>
    <hyperlink ref="E507" location="'общие сведения'!C69" tooltip="Щелкните, чтобы перейти по ссылке" display="1)"/>
    <hyperlink ref="E508" location="'общие сведения'!C71" tooltip="Щелкните, чтобы перейти по ссылке" display="2)"/>
    <hyperlink ref="B507:D507" location="'общие сведения'!F65" tooltip="Щелкните, чтобы перейти по ссылке" display="Члены экспертной группы:"/>
    <hyperlink ref="B498:D498" location="'общие сведения'!C19" tooltip="Щелкните, чтобы перейти по ссылке" display="Фамилия, имя, отчество "/>
    <hyperlink ref="B509:E509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47244094488188981" right="0.23622047244094491" top="0.51181102362204722" bottom="0.47244094488188981" header="0.51181102362204722" footer="0.39370078740157483"/>
  <pageSetup paperSize="9" scale="99" fitToHeight="15" orientation="portrait" r:id="rId1"/>
  <headerFooter alignWithMargins="0"/>
  <rowBreaks count="9" manualBreakCount="9">
    <brk id="100" max="9" man="1"/>
    <brk id="148" max="9" man="1"/>
    <brk id="190" max="9" man="1"/>
    <brk id="226" max="9" man="1"/>
    <brk id="287" max="9" man="1"/>
    <brk id="331" max="9" man="1"/>
    <brk id="382" max="9" man="1"/>
    <brk id="422" max="9" man="1"/>
    <brk id="495" max="16383" man="1"/>
  </rowBreaks>
  <cellWatches>
    <cellWatch r="B498"/>
  </cellWatches>
  <ignoredErrors>
    <ignoredError sqref="F385" twoDigitTextYea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00"/>
  <sheetViews>
    <sheetView showGridLines="0" showRowColHeaders="0" showOutlineSymbols="0" zoomScaleNormal="100" zoomScaleSheetLayoutView="100" workbookViewId="0">
      <selection activeCell="A34" sqref="A34:J34"/>
    </sheetView>
  </sheetViews>
  <sheetFormatPr defaultColWidth="9.109375" defaultRowHeight="13.8" x14ac:dyDescent="0.25"/>
  <cols>
    <col min="1" max="1" width="5" style="7" customWidth="1"/>
    <col min="2" max="2" width="10.88671875" style="110" customWidth="1"/>
    <col min="3" max="3" width="12.44140625" style="110" customWidth="1"/>
    <col min="4" max="4" width="9.88671875" style="111" customWidth="1"/>
    <col min="5" max="5" width="9.44140625" style="111" customWidth="1"/>
    <col min="6" max="10" width="10.33203125" style="111" customWidth="1"/>
    <col min="11" max="11" width="0.88671875" style="3" customWidth="1"/>
    <col min="12" max="12" width="11.5546875" style="36" hidden="1" customWidth="1"/>
    <col min="13" max="13" width="5.6640625" style="36" hidden="1" customWidth="1"/>
    <col min="14" max="14" width="5.5546875" style="36" hidden="1" customWidth="1"/>
    <col min="15" max="15" width="16.33203125" style="139" hidden="1" customWidth="1"/>
    <col min="16" max="16" width="9.6640625" style="3" hidden="1" customWidth="1"/>
    <col min="17" max="17" width="13" style="3" hidden="1" customWidth="1"/>
    <col min="18" max="18" width="3.33203125" style="3" customWidth="1"/>
    <col min="19" max="19" width="13" style="3" customWidth="1"/>
    <col min="20" max="20" width="12" style="3" customWidth="1"/>
    <col min="21" max="16384" width="9.109375" style="3"/>
  </cols>
  <sheetData>
    <row r="1" spans="1:18" ht="15.6" x14ac:dyDescent="0.3">
      <c r="A1" s="599"/>
      <c r="B1" s="788" t="s">
        <v>565</v>
      </c>
      <c r="C1" s="788"/>
      <c r="D1" s="788"/>
      <c r="E1" s="788"/>
      <c r="F1" s="344"/>
      <c r="G1" s="344"/>
      <c r="H1" s="344"/>
      <c r="I1" s="344"/>
      <c r="J1" s="344"/>
      <c r="K1" s="353" t="str">
        <f>версия</f>
        <v xml:space="preserve">  ЭЗ - 2018 г.</v>
      </c>
      <c r="L1" s="352"/>
      <c r="Q1" s="353"/>
      <c r="R1" s="3" t="s">
        <v>574</v>
      </c>
    </row>
    <row r="2" spans="1:18" ht="10.5" hidden="1" customHeight="1" x14ac:dyDescent="0.25">
      <c r="I2" s="10"/>
      <c r="J2" s="344"/>
      <c r="K2" s="353"/>
      <c r="L2" s="161"/>
      <c r="M2" s="162"/>
      <c r="N2" s="163"/>
      <c r="O2" s="163" t="s">
        <v>50</v>
      </c>
      <c r="P2" s="148" t="s">
        <v>51</v>
      </c>
      <c r="Q2" s="353"/>
    </row>
    <row r="3" spans="1:18" ht="10.5" hidden="1" customHeight="1" x14ac:dyDescent="0.25">
      <c r="I3" s="10"/>
      <c r="J3" s="344"/>
      <c r="K3" s="353"/>
      <c r="L3" s="366" t="str">
        <f>'общие сведения'!A137</f>
        <v>воспитатель</v>
      </c>
      <c r="M3" s="366"/>
      <c r="N3" s="366" t="str">
        <f>'общие сведения'!D137</f>
        <v>воспитателя</v>
      </c>
      <c r="O3" s="155"/>
      <c r="P3" s="40">
        <f>LEN(N3)</f>
        <v>11</v>
      </c>
      <c r="Q3" s="353"/>
    </row>
    <row r="4" spans="1:18" ht="10.5" hidden="1" customHeight="1" x14ac:dyDescent="0.25">
      <c r="I4" s="10"/>
      <c r="J4" s="344"/>
      <c r="K4" s="353"/>
      <c r="L4" s="366" t="str">
        <f>'общие сведения'!A138</f>
        <v>воспитатель группы продленного дня</v>
      </c>
      <c r="M4" s="366"/>
      <c r="N4" s="366" t="str">
        <f>'общие сведения'!D138</f>
        <v>воспитателя ГПД</v>
      </c>
      <c r="O4" s="155"/>
      <c r="P4" s="40">
        <f t="shared" ref="P4:P30" si="0">LEN(N4)</f>
        <v>15</v>
      </c>
      <c r="Q4" s="353"/>
    </row>
    <row r="5" spans="1:18" ht="10.5" hidden="1" customHeight="1" x14ac:dyDescent="0.25">
      <c r="I5" s="10"/>
      <c r="J5" s="344"/>
      <c r="K5" s="353"/>
      <c r="L5" s="366" t="str">
        <f>'общие сведения'!A139</f>
        <v>дефектолог</v>
      </c>
      <c r="M5" s="366"/>
      <c r="N5" s="366" t="str">
        <f>'общие сведения'!D139</f>
        <v>дефектолога</v>
      </c>
      <c r="O5" s="155"/>
      <c r="P5" s="40">
        <f t="shared" si="0"/>
        <v>11</v>
      </c>
      <c r="Q5" s="353"/>
    </row>
    <row r="6" spans="1:18" ht="10.5" hidden="1" customHeight="1" x14ac:dyDescent="0.25">
      <c r="I6" s="10"/>
      <c r="J6" s="344"/>
      <c r="K6" s="353"/>
      <c r="L6" s="366" t="str">
        <f>'общие сведения'!A140</f>
        <v>инструктор по труду</v>
      </c>
      <c r="M6" s="366"/>
      <c r="N6" s="366" t="str">
        <f>'общие сведения'!D140</f>
        <v>инструктора по труду</v>
      </c>
      <c r="O6" s="155"/>
      <c r="P6" s="40">
        <f t="shared" si="0"/>
        <v>20</v>
      </c>
      <c r="Q6" s="353"/>
    </row>
    <row r="7" spans="1:18" ht="10.5" hidden="1" customHeight="1" x14ac:dyDescent="0.25">
      <c r="I7" s="10"/>
      <c r="J7" s="344"/>
      <c r="K7" s="353"/>
      <c r="L7" s="366" t="str">
        <f>'общие сведения'!A141</f>
        <v>инструктор по физической культуре</v>
      </c>
      <c r="M7" s="366"/>
      <c r="N7" s="366" t="str">
        <f>'общие сведения'!D141</f>
        <v>инструктора по физ. культуре</v>
      </c>
      <c r="O7" s="155"/>
      <c r="P7" s="40">
        <f t="shared" si="0"/>
        <v>28</v>
      </c>
      <c r="Q7" s="353"/>
    </row>
    <row r="8" spans="1:18" ht="10.5" hidden="1" customHeight="1" x14ac:dyDescent="0.25">
      <c r="I8" s="10"/>
      <c r="J8" s="344"/>
      <c r="K8" s="353"/>
      <c r="L8" s="366" t="str">
        <f>'общие сведения'!A142</f>
        <v>инструктор по физическому воспитанию</v>
      </c>
      <c r="M8" s="366"/>
      <c r="N8" s="366" t="str">
        <f>'общие сведения'!D142</f>
        <v>инструктора по физ.воспитанию</v>
      </c>
      <c r="O8" s="155"/>
      <c r="P8" s="40">
        <f t="shared" si="0"/>
        <v>29</v>
      </c>
      <c r="Q8" s="353"/>
    </row>
    <row r="9" spans="1:18" ht="10.5" hidden="1" customHeight="1" x14ac:dyDescent="0.25">
      <c r="I9" s="10"/>
      <c r="J9" s="344"/>
      <c r="K9" s="353"/>
      <c r="L9" s="366" t="str">
        <f>'общие сведения'!A143</f>
        <v>инструктор-методист</v>
      </c>
      <c r="M9" s="366"/>
      <c r="N9" s="366" t="str">
        <f>'общие сведения'!D143</f>
        <v>инструктора-методиста</v>
      </c>
      <c r="O9" s="155"/>
      <c r="P9" s="40">
        <f t="shared" si="0"/>
        <v>21</v>
      </c>
      <c r="Q9" s="353"/>
    </row>
    <row r="10" spans="1:18" ht="10.5" hidden="1" customHeight="1" x14ac:dyDescent="0.25">
      <c r="I10" s="10"/>
      <c r="J10" s="344"/>
      <c r="K10" s="353"/>
      <c r="L10" s="366" t="str">
        <f>'общие сведения'!A144</f>
        <v>концертмейстер</v>
      </c>
      <c r="M10" s="366"/>
      <c r="N10" s="366" t="str">
        <f>'общие сведения'!D144</f>
        <v>концертмейстера</v>
      </c>
      <c r="O10" s="155"/>
      <c r="P10" s="40">
        <f t="shared" si="0"/>
        <v>15</v>
      </c>
      <c r="Q10" s="353"/>
    </row>
    <row r="11" spans="1:18" ht="10.5" hidden="1" customHeight="1" x14ac:dyDescent="0.25">
      <c r="I11" s="10"/>
      <c r="J11" s="344"/>
      <c r="K11" s="353"/>
      <c r="L11" s="366" t="str">
        <f>'общие сведения'!A145</f>
        <v>логопед</v>
      </c>
      <c r="M11" s="366"/>
      <c r="N11" s="366" t="str">
        <f>'общие сведения'!D145</f>
        <v>логопеда</v>
      </c>
      <c r="O11" s="155"/>
      <c r="P11" s="40">
        <f t="shared" si="0"/>
        <v>8</v>
      </c>
      <c r="Q11" s="353"/>
    </row>
    <row r="12" spans="1:18" ht="10.5" hidden="1" customHeight="1" x14ac:dyDescent="0.25">
      <c r="I12" s="10"/>
      <c r="J12" s="344"/>
      <c r="K12" s="353"/>
      <c r="L12" s="366" t="str">
        <f>'общие сведения'!A146</f>
        <v>мастер производственного обучения</v>
      </c>
      <c r="M12" s="366"/>
      <c r="N12" s="366" t="str">
        <f>'общие сведения'!D146</f>
        <v>мастера п./о.</v>
      </c>
      <c r="O12" s="155"/>
      <c r="P12" s="40">
        <f t="shared" si="0"/>
        <v>13</v>
      </c>
      <c r="Q12" s="353"/>
    </row>
    <row r="13" spans="1:18" ht="10.5" hidden="1" customHeight="1" x14ac:dyDescent="0.25">
      <c r="I13" s="10"/>
      <c r="J13" s="344"/>
      <c r="K13" s="353"/>
      <c r="L13" s="366" t="str">
        <f>'общие сведения'!A147</f>
        <v>методист</v>
      </c>
      <c r="M13" s="366"/>
      <c r="N13" s="366" t="str">
        <f>'общие сведения'!D147</f>
        <v>методиста</v>
      </c>
      <c r="O13" s="155"/>
      <c r="P13" s="40"/>
      <c r="Q13" s="353"/>
    </row>
    <row r="14" spans="1:18" ht="10.5" hidden="1" customHeight="1" x14ac:dyDescent="0.25">
      <c r="I14" s="10"/>
      <c r="J14" s="344"/>
      <c r="K14" s="353"/>
      <c r="L14" s="366" t="str">
        <f>'общие сведения'!A148</f>
        <v>музыкальный руководитель</v>
      </c>
      <c r="M14" s="366"/>
      <c r="N14" s="366" t="str">
        <f>'общие сведения'!D148</f>
        <v>музыкального руководителя</v>
      </c>
      <c r="O14" s="155"/>
      <c r="P14" s="40">
        <f t="shared" si="0"/>
        <v>25</v>
      </c>
      <c r="Q14" s="353"/>
    </row>
    <row r="15" spans="1:18" ht="10.5" hidden="1" customHeight="1" x14ac:dyDescent="0.25">
      <c r="I15" s="10"/>
      <c r="J15" s="344"/>
      <c r="K15" s="353"/>
      <c r="L15" s="366" t="str">
        <f>'общие сведения'!A149</f>
        <v>педагог</v>
      </c>
      <c r="M15" s="366"/>
      <c r="N15" s="366" t="str">
        <f>'общие сведения'!D149</f>
        <v>педагога</v>
      </c>
      <c r="O15" s="155"/>
      <c r="P15" s="40">
        <f t="shared" si="0"/>
        <v>8</v>
      </c>
      <c r="Q15" s="353"/>
    </row>
    <row r="16" spans="1:18" ht="10.5" hidden="1" customHeight="1" x14ac:dyDescent="0.25">
      <c r="I16" s="10"/>
      <c r="J16" s="344"/>
      <c r="K16" s="353"/>
      <c r="L16" s="366" t="str">
        <f>'общие сведения'!A150</f>
        <v>педагог дополнительного образования</v>
      </c>
      <c r="M16" s="366"/>
      <c r="N16" s="366" t="str">
        <f>'общие сведения'!D150</f>
        <v>педагога доп. образования</v>
      </c>
      <c r="O16" s="155"/>
      <c r="P16" s="40">
        <f t="shared" si="0"/>
        <v>25</v>
      </c>
      <c r="Q16" s="353"/>
    </row>
    <row r="17" spans="9:17" ht="10.5" hidden="1" customHeight="1" x14ac:dyDescent="0.25">
      <c r="I17" s="10"/>
      <c r="J17" s="344"/>
      <c r="K17" s="353"/>
      <c r="L17" s="366" t="str">
        <f>'общие сведения'!A151</f>
        <v>педагог-организатор</v>
      </c>
      <c r="M17" s="366"/>
      <c r="N17" s="366" t="str">
        <f>'общие сведения'!D151</f>
        <v>педагога-организатора</v>
      </c>
      <c r="O17" s="155"/>
      <c r="P17" s="40">
        <f t="shared" si="0"/>
        <v>21</v>
      </c>
      <c r="Q17" s="353"/>
    </row>
    <row r="18" spans="9:17" ht="10.5" hidden="1" customHeight="1" x14ac:dyDescent="0.25">
      <c r="I18" s="10"/>
      <c r="J18" s="344"/>
      <c r="K18" s="353"/>
      <c r="L18" s="366" t="str">
        <f>'общие сведения'!A152</f>
        <v>педагог-психолог</v>
      </c>
      <c r="M18" s="366"/>
      <c r="N18" s="366" t="str">
        <f>'общие сведения'!D152</f>
        <v>педагога-психолога</v>
      </c>
      <c r="O18" s="155"/>
      <c r="P18" s="40">
        <f t="shared" si="0"/>
        <v>18</v>
      </c>
      <c r="Q18" s="353"/>
    </row>
    <row r="19" spans="9:17" ht="10.5" hidden="1" customHeight="1" x14ac:dyDescent="0.25">
      <c r="I19" s="10"/>
      <c r="J19" s="344"/>
      <c r="K19" s="353"/>
      <c r="L19" s="366" t="str">
        <f>'общие сведения'!A153</f>
        <v>преподаватель</v>
      </c>
      <c r="M19" s="366"/>
      <c r="N19" s="366" t="str">
        <f>'общие сведения'!D153</f>
        <v>преподавателя</v>
      </c>
      <c r="O19" s="155"/>
      <c r="P19" s="40">
        <f t="shared" si="0"/>
        <v>13</v>
      </c>
      <c r="Q19" s="353"/>
    </row>
    <row r="20" spans="9:17" ht="10.5" hidden="1" customHeight="1" x14ac:dyDescent="0.25">
      <c r="I20" s="10"/>
      <c r="J20" s="344"/>
      <c r="K20" s="353"/>
      <c r="L20" s="366" t="str">
        <f>'общие сведения'!A154</f>
        <v xml:space="preserve">преподаватель-организатор </v>
      </c>
      <c r="M20" s="366"/>
      <c r="N20" s="366" t="str">
        <f>'общие сведения'!D154</f>
        <v xml:space="preserve">преподавателя-организатора </v>
      </c>
      <c r="O20" s="155"/>
      <c r="P20" s="40">
        <f t="shared" si="0"/>
        <v>27</v>
      </c>
      <c r="Q20" s="353"/>
    </row>
    <row r="21" spans="9:17" ht="10.5" hidden="1" customHeight="1" x14ac:dyDescent="0.25">
      <c r="I21" s="10"/>
      <c r="J21" s="344"/>
      <c r="K21" s="353"/>
      <c r="L21" s="366" t="str">
        <f>'общие сведения'!A155</f>
        <v>психолог</v>
      </c>
      <c r="M21" s="366"/>
      <c r="N21" s="366" t="str">
        <f>'общие сведения'!D155</f>
        <v>психолога</v>
      </c>
      <c r="O21" s="155"/>
      <c r="P21" s="40">
        <f t="shared" si="0"/>
        <v>9</v>
      </c>
      <c r="Q21" s="353"/>
    </row>
    <row r="22" spans="9:17" ht="10.5" hidden="1" customHeight="1" x14ac:dyDescent="0.25">
      <c r="I22" s="10"/>
      <c r="J22" s="344"/>
      <c r="K22" s="353"/>
      <c r="L22" s="366" t="str">
        <f>'общие сведения'!A156</f>
        <v>руководитель физ.воспитания</v>
      </c>
      <c r="M22" s="366"/>
      <c r="N22" s="366" t="str">
        <f>'общие сведения'!D156</f>
        <v>руководителя физ. воспитания</v>
      </c>
      <c r="O22" s="155"/>
      <c r="P22" s="40">
        <f t="shared" si="0"/>
        <v>28</v>
      </c>
      <c r="Q22" s="353"/>
    </row>
    <row r="23" spans="9:17" ht="10.5" hidden="1" customHeight="1" x14ac:dyDescent="0.25">
      <c r="I23" s="10"/>
      <c r="J23" s="344"/>
      <c r="K23" s="353"/>
      <c r="L23" s="366" t="str">
        <f>'общие сведения'!A157</f>
        <v>социальный педагог</v>
      </c>
      <c r="M23" s="366"/>
      <c r="N23" s="366" t="str">
        <f>'общие сведения'!D157</f>
        <v>социального педагога</v>
      </c>
      <c r="O23" s="155"/>
      <c r="P23" s="40">
        <f t="shared" si="0"/>
        <v>20</v>
      </c>
      <c r="Q23" s="353"/>
    </row>
    <row r="24" spans="9:17" ht="10.5" hidden="1" customHeight="1" x14ac:dyDescent="0.25">
      <c r="I24" s="10"/>
      <c r="J24" s="344"/>
      <c r="K24" s="353"/>
      <c r="L24" s="366" t="str">
        <f>'общие сведения'!A158</f>
        <v>старший воспитатель</v>
      </c>
      <c r="M24" s="366"/>
      <c r="N24" s="366" t="str">
        <f>'общие сведения'!D158</f>
        <v>старшего воспитателя</v>
      </c>
      <c r="O24" s="155"/>
      <c r="P24" s="40">
        <f t="shared" si="0"/>
        <v>20</v>
      </c>
      <c r="Q24" s="353"/>
    </row>
    <row r="25" spans="9:17" ht="10.5" hidden="1" customHeight="1" x14ac:dyDescent="0.25">
      <c r="I25" s="10"/>
      <c r="J25" s="344"/>
      <c r="K25" s="353"/>
      <c r="L25" s="366" t="str">
        <f>'общие сведения'!A159</f>
        <v>тренер</v>
      </c>
      <c r="M25" s="366"/>
      <c r="N25" s="366" t="str">
        <f>'общие сведения'!D159</f>
        <v>тренера</v>
      </c>
      <c r="O25" s="155"/>
      <c r="P25" s="40">
        <f t="shared" si="0"/>
        <v>7</v>
      </c>
      <c r="Q25" s="353"/>
    </row>
    <row r="26" spans="9:17" ht="10.5" hidden="1" customHeight="1" x14ac:dyDescent="0.25">
      <c r="I26" s="10"/>
      <c r="J26" s="344"/>
      <c r="K26" s="353"/>
      <c r="L26" s="366" t="str">
        <f>'общие сведения'!A160</f>
        <v>тренер-преподаватель</v>
      </c>
      <c r="M26" s="366"/>
      <c r="N26" s="366" t="str">
        <f>'общие сведения'!D160</f>
        <v>тренера-преподавателя</v>
      </c>
      <c r="O26" s="155"/>
      <c r="P26" s="40">
        <f t="shared" si="0"/>
        <v>21</v>
      </c>
      <c r="Q26" s="353"/>
    </row>
    <row r="27" spans="9:17" ht="10.5" hidden="1" customHeight="1" x14ac:dyDescent="0.25">
      <c r="I27" s="10"/>
      <c r="J27" s="344"/>
      <c r="K27" s="353"/>
      <c r="L27" s="366" t="str">
        <f>'общие сведения'!A161</f>
        <v>учитель</v>
      </c>
      <c r="M27" s="366"/>
      <c r="N27" s="366" t="str">
        <f>'общие сведения'!D161</f>
        <v>учителя</v>
      </c>
      <c r="O27" s="155"/>
      <c r="P27" s="40">
        <f t="shared" si="0"/>
        <v>7</v>
      </c>
      <c r="Q27" s="353"/>
    </row>
    <row r="28" spans="9:17" ht="10.5" hidden="1" customHeight="1" x14ac:dyDescent="0.25">
      <c r="I28" s="10"/>
      <c r="J28" s="344"/>
      <c r="K28" s="353"/>
      <c r="L28" s="366" t="str">
        <f>'общие сведения'!A162</f>
        <v>учитель-дефектолог</v>
      </c>
      <c r="M28" s="366"/>
      <c r="N28" s="366" t="str">
        <f>'общие сведения'!D162</f>
        <v>учителя-дефектолога</v>
      </c>
      <c r="O28" s="155"/>
      <c r="P28" s="40">
        <f t="shared" si="0"/>
        <v>19</v>
      </c>
      <c r="Q28" s="353"/>
    </row>
    <row r="29" spans="9:17" ht="10.5" hidden="1" customHeight="1" x14ac:dyDescent="0.25">
      <c r="I29" s="10"/>
      <c r="J29" s="344"/>
      <c r="K29" s="353"/>
      <c r="L29" s="366" t="str">
        <f>'общие сведения'!A163</f>
        <v>учитель-логопед</v>
      </c>
      <c r="M29" s="366"/>
      <c r="N29" s="366" t="str">
        <f>'общие сведения'!D163</f>
        <v>учителя-логопеда</v>
      </c>
      <c r="O29" s="155"/>
      <c r="P29" s="40">
        <f t="shared" si="0"/>
        <v>16</v>
      </c>
      <c r="Q29" s="353"/>
    </row>
    <row r="30" spans="9:17" ht="10.5" hidden="1" customHeight="1" x14ac:dyDescent="0.25">
      <c r="I30" s="10"/>
      <c r="J30" s="344"/>
      <c r="K30" s="353"/>
      <c r="L30" s="366">
        <f>'общие сведения'!A164</f>
        <v>0</v>
      </c>
      <c r="M30" s="366"/>
      <c r="N30" s="366">
        <f>'общие сведения'!D164</f>
        <v>0</v>
      </c>
      <c r="O30" s="155"/>
      <c r="P30" s="40">
        <f t="shared" si="0"/>
        <v>1</v>
      </c>
      <c r="Q30" s="353"/>
    </row>
    <row r="31" spans="9:17" ht="10.5" hidden="1" customHeight="1" x14ac:dyDescent="0.25">
      <c r="I31" s="10"/>
      <c r="J31" s="344"/>
      <c r="K31" s="353"/>
      <c r="L31" s="367" t="str">
        <f>IF(OR('общие сведения'!K32=""),"Ошибка !",VLOOKUP('общие сведения'!K32,L2:O30,3))</f>
        <v>преподавателя</v>
      </c>
      <c r="M31" s="368"/>
      <c r="N31" s="369">
        <f>LEN(L31)</f>
        <v>13</v>
      </c>
      <c r="O31" s="159"/>
      <c r="Q31" s="353"/>
    </row>
    <row r="32" spans="9:17" ht="10.5" hidden="1" customHeight="1" x14ac:dyDescent="0.25">
      <c r="I32" s="10"/>
      <c r="J32" s="344"/>
      <c r="K32" s="353"/>
      <c r="L32" s="370">
        <f>IF(ISERR(FIND(LEFT(L31,5),C45)),0,1)</f>
        <v>0</v>
      </c>
      <c r="M32" s="1007"/>
      <c r="N32" s="1007"/>
      <c r="O32" s="160"/>
      <c r="Q32" s="353"/>
    </row>
    <row r="33" spans="1:19" ht="10.5" hidden="1" customHeight="1" x14ac:dyDescent="0.25">
      <c r="I33" s="10"/>
      <c r="J33" s="344"/>
      <c r="K33" s="353"/>
      <c r="L33" s="366"/>
      <c r="M33" s="446"/>
      <c r="N33" s="446"/>
      <c r="O33" s="157"/>
      <c r="Q33" s="353"/>
    </row>
    <row r="34" spans="1:19" s="430" customFormat="1" x14ac:dyDescent="0.25">
      <c r="A34" s="800" t="str">
        <f>ЭЗ!A34</f>
        <v>ЭКСПЕРТНОЕ ЗАКЛЮЧЕНИЕ</v>
      </c>
      <c r="B34" s="800"/>
      <c r="C34" s="800"/>
      <c r="D34" s="800"/>
      <c r="E34" s="800"/>
      <c r="F34" s="800"/>
      <c r="G34" s="800"/>
      <c r="H34" s="800"/>
      <c r="I34" s="800"/>
      <c r="J34" s="800"/>
      <c r="K34" s="353" t="str">
        <f>'общие сведения'!G12</f>
        <v xml:space="preserve"> преподавателя  ДШИ и других школ по видам искусств</v>
      </c>
    </row>
    <row r="35" spans="1:19" s="430" customFormat="1" ht="3.75" customHeight="1" x14ac:dyDescent="0.25">
      <c r="A35" s="444"/>
      <c r="B35" s="444"/>
      <c r="C35" s="444"/>
      <c r="D35" s="444"/>
      <c r="E35" s="444"/>
      <c r="F35" s="444"/>
      <c r="G35" s="444"/>
      <c r="H35" s="444"/>
      <c r="I35" s="444"/>
      <c r="J35" s="444"/>
      <c r="K35" s="429"/>
    </row>
    <row r="36" spans="1:19" s="109" customFormat="1" ht="26.25" customHeight="1" x14ac:dyDescent="0.25">
      <c r="A36" s="1012" t="s">
        <v>575</v>
      </c>
      <c r="B36" s="1012"/>
      <c r="C36" s="1012"/>
      <c r="D36" s="1012"/>
      <c r="E36" s="1012"/>
      <c r="F36" s="1012"/>
      <c r="G36" s="1012"/>
      <c r="H36" s="1012"/>
      <c r="I36" s="1012"/>
      <c r="J36" s="1012"/>
      <c r="K36" s="431"/>
    </row>
    <row r="37" spans="1:19" s="109" customFormat="1" ht="13.2" x14ac:dyDescent="0.25">
      <c r="A37" s="1012" t="s">
        <v>506</v>
      </c>
      <c r="B37" s="1012"/>
      <c r="C37" s="1012"/>
      <c r="D37" s="1012"/>
      <c r="E37" s="1012"/>
      <c r="F37" s="1012"/>
      <c r="G37" s="1012"/>
      <c r="H37" s="1012"/>
      <c r="I37" s="1012"/>
      <c r="J37" s="1012"/>
      <c r="K37" s="431"/>
      <c r="S37" s="3"/>
    </row>
    <row r="38" spans="1:19" s="109" customFormat="1" ht="7.5" customHeight="1" x14ac:dyDescent="0.25">
      <c r="A38" s="1012"/>
      <c r="B38" s="1012"/>
      <c r="C38" s="1012"/>
      <c r="D38" s="1012"/>
      <c r="E38" s="1012"/>
      <c r="F38" s="1012"/>
      <c r="G38" s="1012"/>
      <c r="H38" s="1012"/>
      <c r="I38" s="1012"/>
      <c r="J38" s="1012"/>
      <c r="K38" s="431"/>
    </row>
    <row r="39" spans="1:19" s="430" customFormat="1" ht="18" customHeight="1" x14ac:dyDescent="0.25">
      <c r="A39" s="432" t="s">
        <v>507</v>
      </c>
      <c r="B39" s="433"/>
      <c r="C39" s="433"/>
      <c r="D39" s="434"/>
      <c r="E39" s="434"/>
      <c r="F39" s="434"/>
      <c r="G39" s="434"/>
      <c r="H39" s="434"/>
      <c r="I39" s="434"/>
      <c r="J39" s="10" t="s">
        <v>339</v>
      </c>
      <c r="K39" s="429"/>
    </row>
    <row r="40" spans="1:19" s="436" customFormat="1" ht="1.5" customHeight="1" x14ac:dyDescent="0.25">
      <c r="A40" s="432"/>
      <c r="B40" s="433"/>
      <c r="C40" s="433"/>
      <c r="D40" s="434"/>
      <c r="E40" s="434"/>
      <c r="F40" s="434"/>
      <c r="G40" s="434"/>
      <c r="H40" s="434"/>
      <c r="I40" s="434"/>
      <c r="J40" s="434"/>
      <c r="K40" s="429"/>
      <c r="L40" s="430"/>
      <c r="M40" s="430"/>
      <c r="N40" s="430"/>
      <c r="O40" s="430"/>
      <c r="P40" s="430"/>
      <c r="Q40" s="430"/>
      <c r="R40" s="435"/>
    </row>
    <row r="41" spans="1:19" s="438" customFormat="1" ht="13.2" x14ac:dyDescent="0.25">
      <c r="A41" s="796" t="s">
        <v>119</v>
      </c>
      <c r="B41" s="796"/>
      <c r="C41" s="796"/>
      <c r="D41" s="801"/>
      <c r="E41" s="801"/>
      <c r="F41" s="801"/>
      <c r="G41" s="801"/>
      <c r="H41" s="801"/>
      <c r="I41" s="801"/>
      <c r="J41" s="801"/>
      <c r="K41" s="437"/>
    </row>
    <row r="42" spans="1:19" s="438" customFormat="1" ht="15" customHeight="1" x14ac:dyDescent="0.25">
      <c r="A42" s="796" t="s">
        <v>161</v>
      </c>
      <c r="B42" s="796"/>
      <c r="C42" s="1066"/>
      <c r="D42" s="1066"/>
      <c r="E42" s="1066"/>
      <c r="F42" s="1066"/>
      <c r="G42" s="1066"/>
      <c r="H42" s="1066"/>
      <c r="I42" s="1066"/>
      <c r="J42" s="1066"/>
      <c r="K42" s="437"/>
    </row>
    <row r="43" spans="1:19" s="438" customFormat="1" ht="30" customHeight="1" x14ac:dyDescent="0.25">
      <c r="A43" s="439"/>
      <c r="B43" s="124"/>
      <c r="C43" s="797"/>
      <c r="D43" s="797"/>
      <c r="E43" s="797"/>
      <c r="F43" s="797"/>
      <c r="G43" s="797"/>
      <c r="H43" s="797"/>
      <c r="I43" s="797"/>
      <c r="J43" s="797"/>
      <c r="K43" s="437"/>
    </row>
    <row r="44" spans="1:19" s="438" customFormat="1" ht="13.2" hidden="1" x14ac:dyDescent="0.25">
      <c r="A44" s="439"/>
      <c r="B44" s="124"/>
      <c r="C44" s="440"/>
      <c r="D44" s="440"/>
      <c r="E44" s="440"/>
      <c r="F44" s="440"/>
      <c r="G44" s="440"/>
      <c r="H44" s="440"/>
      <c r="I44" s="440"/>
      <c r="J44" s="440"/>
      <c r="K44" s="437"/>
    </row>
    <row r="45" spans="1:19" s="438" customFormat="1" ht="13.2" x14ac:dyDescent="0.25">
      <c r="A45" s="796" t="s">
        <v>162</v>
      </c>
      <c r="B45" s="796"/>
      <c r="C45" s="1067"/>
      <c r="D45" s="1067"/>
      <c r="E45" s="1067"/>
      <c r="F45" s="1067"/>
      <c r="G45" s="1067"/>
      <c r="H45" s="1067"/>
      <c r="I45" s="1067"/>
      <c r="J45" s="1067"/>
      <c r="K45" s="437"/>
    </row>
    <row r="46" spans="1:19" s="438" customFormat="1" ht="13.2" x14ac:dyDescent="0.25">
      <c r="A46" s="1065" t="s">
        <v>520</v>
      </c>
      <c r="B46" s="1065"/>
      <c r="C46" s="1067"/>
      <c r="D46" s="1067"/>
      <c r="E46" s="1067"/>
      <c r="F46" s="1067"/>
      <c r="G46" s="1067"/>
      <c r="H46" s="1067"/>
      <c r="I46" s="1067"/>
      <c r="J46" s="1067"/>
      <c r="K46" s="437"/>
    </row>
    <row r="47" spans="1:19" s="438" customFormat="1" ht="13.2" x14ac:dyDescent="0.25">
      <c r="A47" s="796" t="s">
        <v>120</v>
      </c>
      <c r="B47" s="796"/>
      <c r="C47" s="796"/>
      <c r="D47" s="1063"/>
      <c r="E47" s="1063"/>
      <c r="F47" s="1063"/>
      <c r="G47" s="1064"/>
      <c r="H47" s="1064"/>
      <c r="I47" s="1064"/>
      <c r="J47" s="1064"/>
      <c r="K47" s="437"/>
    </row>
    <row r="48" spans="1:19" s="438" customFormat="1" ht="13.2" x14ac:dyDescent="0.25">
      <c r="A48" s="796" t="s">
        <v>172</v>
      </c>
      <c r="B48" s="796"/>
      <c r="C48" s="796"/>
      <c r="D48" s="796"/>
      <c r="E48" s="441"/>
      <c r="F48" s="442"/>
      <c r="G48" s="443"/>
      <c r="H48" s="443"/>
      <c r="I48" s="443"/>
      <c r="J48" s="443"/>
      <c r="K48" s="437"/>
    </row>
    <row r="49" spans="1:57" s="546" customFormat="1" ht="13.2" x14ac:dyDescent="0.25">
      <c r="A49" s="796" t="s">
        <v>173</v>
      </c>
      <c r="B49" s="796"/>
      <c r="C49" s="796"/>
      <c r="D49" s="796"/>
      <c r="E49" s="1068"/>
      <c r="F49" s="1068"/>
      <c r="G49" s="795" t="s">
        <v>549</v>
      </c>
      <c r="H49" s="795"/>
      <c r="I49" s="803"/>
      <c r="J49" s="803"/>
      <c r="K49" s="545"/>
      <c r="Q49" s="547"/>
      <c r="R49" s="548"/>
    </row>
    <row r="50" spans="1:57" s="546" customFormat="1" ht="13.2" x14ac:dyDescent="0.25">
      <c r="A50" s="796" t="s">
        <v>121</v>
      </c>
      <c r="B50" s="796"/>
      <c r="C50" s="796"/>
      <c r="D50" s="796"/>
      <c r="E50" s="802"/>
      <c r="F50" s="802"/>
      <c r="G50" s="795" t="str">
        <f>IF(E49="нет",'общие сведения'!K43,"")</f>
        <v/>
      </c>
      <c r="H50" s="795"/>
      <c r="I50" s="549" t="str">
        <f>IF(E49="нет",'общие сведения'!L43,"")</f>
        <v/>
      </c>
      <c r="J50" s="550" t="str">
        <f>IF(E49="нет",'общие сведения'!M43,"")</f>
        <v/>
      </c>
      <c r="K50" s="545"/>
      <c r="L50" s="551"/>
      <c r="Q50" s="547"/>
      <c r="R50" s="548"/>
    </row>
    <row r="51" spans="1:57" s="546" customFormat="1" ht="12.75" customHeight="1" x14ac:dyDescent="0.25">
      <c r="A51" s="796" t="s">
        <v>533</v>
      </c>
      <c r="B51" s="796"/>
      <c r="C51" s="797"/>
      <c r="D51" s="797"/>
      <c r="E51" s="797"/>
      <c r="F51" s="797"/>
      <c r="G51" s="552"/>
      <c r="H51" s="552"/>
      <c r="I51" s="552"/>
      <c r="J51" s="553"/>
      <c r="K51" s="545"/>
      <c r="L51" s="551"/>
      <c r="Q51" s="547"/>
      <c r="R51" s="548"/>
    </row>
    <row r="52" spans="1:57" s="546" customFormat="1" ht="3.75" customHeight="1" x14ac:dyDescent="0.25">
      <c r="A52" s="129"/>
      <c r="B52" s="350"/>
      <c r="C52" s="350"/>
      <c r="D52" s="554"/>
      <c r="E52" s="555"/>
      <c r="F52" s="555"/>
      <c r="G52" s="555"/>
      <c r="H52" s="555"/>
      <c r="I52" s="555"/>
      <c r="J52" s="553"/>
      <c r="K52" s="545"/>
      <c r="L52" s="551"/>
      <c r="Q52" s="547"/>
      <c r="R52" s="548"/>
    </row>
    <row r="53" spans="1:57" s="546" customFormat="1" ht="12.75" customHeight="1" x14ac:dyDescent="0.25">
      <c r="A53" s="793"/>
      <c r="B53" s="793"/>
      <c r="C53" s="793"/>
      <c r="D53" s="793"/>
      <c r="E53" s="793"/>
      <c r="F53" s="793"/>
      <c r="G53" s="793"/>
      <c r="H53" s="793"/>
      <c r="I53" s="793"/>
      <c r="J53" s="793"/>
      <c r="K53" s="545"/>
      <c r="L53" s="551"/>
      <c r="Q53" s="547"/>
      <c r="R53" s="548"/>
      <c r="AT53" s="557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  <c r="BE53" s="557"/>
    </row>
    <row r="54" spans="1:57" s="546" customFormat="1" ht="13.2" x14ac:dyDescent="0.25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545"/>
      <c r="L54" s="551"/>
      <c r="Q54" s="547"/>
      <c r="R54" s="548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</row>
    <row r="55" spans="1:57" s="546" customFormat="1" ht="13.2" x14ac:dyDescent="0.25">
      <c r="A55" s="793"/>
      <c r="B55" s="793"/>
      <c r="C55" s="793"/>
      <c r="D55" s="793"/>
      <c r="E55" s="793"/>
      <c r="F55" s="793"/>
      <c r="G55" s="793"/>
      <c r="H55" s="793"/>
      <c r="I55" s="793"/>
      <c r="J55" s="793"/>
      <c r="K55" s="545"/>
      <c r="L55" s="551"/>
      <c r="Q55" s="547"/>
      <c r="R55" s="548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</row>
    <row r="56" spans="1:57" s="546" customFormat="1" ht="13.2" x14ac:dyDescent="0.25">
      <c r="A56" s="793"/>
      <c r="B56" s="793"/>
      <c r="C56" s="793"/>
      <c r="D56" s="793"/>
      <c r="E56" s="793"/>
      <c r="F56" s="793"/>
      <c r="G56" s="793"/>
      <c r="H56" s="793"/>
      <c r="I56" s="793"/>
      <c r="J56" s="793"/>
      <c r="K56" s="545"/>
      <c r="L56" s="551"/>
      <c r="Q56" s="547"/>
      <c r="R56" s="548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</row>
    <row r="57" spans="1:57" s="546" customFormat="1" ht="7.5" customHeight="1" x14ac:dyDescent="0.25">
      <c r="A57" s="556"/>
      <c r="B57" s="556"/>
      <c r="C57" s="556"/>
      <c r="D57" s="556"/>
      <c r="E57" s="556"/>
      <c r="F57" s="556"/>
      <c r="G57" s="556"/>
      <c r="H57" s="556"/>
      <c r="I57" s="556"/>
      <c r="J57" s="553"/>
      <c r="K57" s="545"/>
      <c r="L57" s="551"/>
      <c r="Q57" s="547"/>
      <c r="R57" s="548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</row>
    <row r="58" spans="1:57" s="546" customFormat="1" ht="13.2" x14ac:dyDescent="0.25">
      <c r="A58" s="558" t="s">
        <v>550</v>
      </c>
      <c r="B58" s="133"/>
      <c r="C58" s="557"/>
      <c r="D58" s="557"/>
      <c r="E58" s="557"/>
      <c r="F58" s="559"/>
      <c r="G58" s="557"/>
      <c r="H58" s="557"/>
      <c r="I58" s="557"/>
      <c r="J58" s="553"/>
      <c r="K58" s="545"/>
      <c r="L58" s="551"/>
      <c r="Q58" s="547"/>
      <c r="R58" s="548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</row>
    <row r="59" spans="1:57" s="546" customFormat="1" ht="13.2" x14ac:dyDescent="0.25">
      <c r="A59" s="798" t="str">
        <f>'общие сведения'!A71</f>
        <v>Курсы повышения квалификации</v>
      </c>
      <c r="B59" s="798"/>
      <c r="C59" s="798"/>
      <c r="D59" s="798"/>
      <c r="E59" s="798"/>
      <c r="F59" s="560"/>
      <c r="G59" s="133" t="s">
        <v>551</v>
      </c>
      <c r="H59" s="555"/>
      <c r="I59" s="555"/>
      <c r="J59" s="553"/>
      <c r="K59" s="545"/>
      <c r="L59" s="551"/>
      <c r="Q59" s="547"/>
      <c r="R59" s="548"/>
    </row>
    <row r="60" spans="1:57" s="546" customFormat="1" ht="13.2" x14ac:dyDescent="0.25">
      <c r="A60" s="79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99"/>
      <c r="C60" s="799"/>
      <c r="D60" s="799"/>
      <c r="E60" s="799"/>
      <c r="F60" s="799"/>
      <c r="G60" s="799"/>
      <c r="H60" s="799"/>
      <c r="I60" s="799"/>
      <c r="J60" s="553"/>
      <c r="K60" s="545"/>
      <c r="L60" s="551"/>
      <c r="Q60" s="547"/>
      <c r="R60" s="548"/>
    </row>
    <row r="61" spans="1:57" s="546" customFormat="1" ht="12.75" customHeight="1" x14ac:dyDescent="0.25">
      <c r="A61" s="793"/>
      <c r="B61" s="793"/>
      <c r="C61" s="793"/>
      <c r="D61" s="793"/>
      <c r="E61" s="793"/>
      <c r="F61" s="793"/>
      <c r="G61" s="793"/>
      <c r="H61" s="793"/>
      <c r="I61" s="793"/>
      <c r="J61" s="793"/>
      <c r="K61" s="545"/>
      <c r="Q61" s="547"/>
      <c r="R61" s="548"/>
    </row>
    <row r="62" spans="1:57" s="546" customFormat="1" ht="13.2" x14ac:dyDescent="0.25">
      <c r="A62" s="793"/>
      <c r="B62" s="793"/>
      <c r="C62" s="793"/>
      <c r="D62" s="793"/>
      <c r="E62" s="793"/>
      <c r="F62" s="793"/>
      <c r="G62" s="793"/>
      <c r="H62" s="793"/>
      <c r="I62" s="793"/>
      <c r="J62" s="793"/>
      <c r="K62" s="545"/>
      <c r="Q62" s="547"/>
      <c r="R62" s="548"/>
    </row>
    <row r="63" spans="1:57" s="546" customFormat="1" ht="13.2" x14ac:dyDescent="0.25">
      <c r="A63" s="793"/>
      <c r="B63" s="793"/>
      <c r="C63" s="793"/>
      <c r="D63" s="793"/>
      <c r="E63" s="793"/>
      <c r="F63" s="793"/>
      <c r="G63" s="793"/>
      <c r="H63" s="793"/>
      <c r="I63" s="793"/>
      <c r="J63" s="793"/>
      <c r="K63" s="545"/>
      <c r="Q63" s="547"/>
      <c r="R63" s="548"/>
    </row>
    <row r="64" spans="1:57" s="546" customFormat="1" ht="9" customHeight="1" x14ac:dyDescent="0.25">
      <c r="A64" s="561"/>
      <c r="B64" s="350"/>
      <c r="C64" s="350"/>
      <c r="D64" s="554"/>
      <c r="E64" s="555"/>
      <c r="F64" s="555"/>
      <c r="G64" s="555"/>
      <c r="H64" s="555"/>
      <c r="I64" s="555"/>
      <c r="J64" s="553"/>
      <c r="K64" s="545"/>
      <c r="Q64" s="547"/>
      <c r="R64" s="548"/>
    </row>
    <row r="65" spans="1:50" s="546" customFormat="1" ht="13.2" x14ac:dyDescent="0.25">
      <c r="A65" s="792" t="s">
        <v>552</v>
      </c>
      <c r="B65" s="792"/>
      <c r="C65" s="792"/>
      <c r="D65" s="792"/>
      <c r="E65" s="792"/>
      <c r="F65" s="792"/>
      <c r="G65" s="792"/>
      <c r="H65" s="792"/>
      <c r="I65" s="792"/>
      <c r="J65" s="553"/>
      <c r="K65" s="545"/>
      <c r="Q65" s="547"/>
      <c r="R65" s="548"/>
    </row>
    <row r="66" spans="1:50" s="546" customFormat="1" ht="12.75" customHeight="1" x14ac:dyDescent="0.25">
      <c r="A66" s="807" t="s">
        <v>553</v>
      </c>
      <c r="B66" s="807"/>
      <c r="C66" s="807"/>
      <c r="D66" s="807"/>
      <c r="E66" s="807"/>
      <c r="F66" s="807"/>
      <c r="G66" s="807"/>
      <c r="H66" s="807"/>
      <c r="I66" s="807"/>
      <c r="J66" s="807"/>
      <c r="K66" s="545"/>
      <c r="Q66" s="547"/>
      <c r="R66" s="548"/>
    </row>
    <row r="67" spans="1:50" s="546" customFormat="1" ht="13.2" x14ac:dyDescent="0.25">
      <c r="A67" s="807"/>
      <c r="B67" s="807"/>
      <c r="C67" s="807"/>
      <c r="D67" s="807"/>
      <c r="E67" s="807"/>
      <c r="F67" s="807"/>
      <c r="G67" s="807"/>
      <c r="H67" s="807"/>
      <c r="I67" s="807"/>
      <c r="J67" s="807"/>
      <c r="K67" s="545"/>
      <c r="Q67" s="547"/>
      <c r="R67" s="548"/>
    </row>
    <row r="68" spans="1:50" s="546" customFormat="1" ht="13.2" x14ac:dyDescent="0.25">
      <c r="A68" s="807"/>
      <c r="B68" s="807"/>
      <c r="C68" s="807"/>
      <c r="D68" s="807"/>
      <c r="E68" s="807"/>
      <c r="F68" s="807"/>
      <c r="G68" s="807"/>
      <c r="H68" s="807"/>
      <c r="I68" s="807"/>
      <c r="J68" s="807"/>
      <c r="K68" s="545"/>
      <c r="Q68" s="547"/>
      <c r="R68" s="548"/>
    </row>
    <row r="69" spans="1:50" s="546" customFormat="1" ht="20.25" customHeight="1" x14ac:dyDescent="0.25">
      <c r="A69" s="807" t="s">
        <v>554</v>
      </c>
      <c r="B69" s="807"/>
      <c r="C69" s="807"/>
      <c r="D69" s="807"/>
      <c r="E69" s="807"/>
      <c r="F69" s="807"/>
      <c r="G69" s="807"/>
      <c r="H69" s="807"/>
      <c r="I69" s="807"/>
      <c r="J69" s="553"/>
      <c r="K69" s="545"/>
      <c r="Q69" s="547"/>
      <c r="R69" s="548"/>
    </row>
    <row r="70" spans="1:50" s="546" customFormat="1" ht="13.2" x14ac:dyDescent="0.25">
      <c r="A70" s="133" t="str">
        <f>ЭЗ!A70</f>
        <v>1. Продуктивность образовательной деятельности</v>
      </c>
      <c r="C70" s="133"/>
      <c r="D70" s="554"/>
      <c r="E70" s="555"/>
      <c r="F70" s="555"/>
      <c r="G70" s="555"/>
      <c r="H70" s="555"/>
      <c r="J70" s="562"/>
      <c r="K70" s="545"/>
      <c r="Q70" s="547"/>
      <c r="R70" s="548"/>
    </row>
    <row r="71" spans="1:50" s="546" customFormat="1" ht="13.2" x14ac:dyDescent="0.25">
      <c r="A71" s="133" t="str">
        <f>ЭЗ!A71</f>
        <v>2. Продуктивность деятельности педагогического работника по развитию обучающихся/ воспитанников</v>
      </c>
      <c r="C71" s="133"/>
      <c r="D71" s="554"/>
      <c r="E71" s="555"/>
      <c r="F71" s="555"/>
      <c r="G71" s="555"/>
      <c r="H71" s="555"/>
      <c r="J71" s="562"/>
      <c r="K71" s="545"/>
      <c r="Q71" s="547"/>
      <c r="R71" s="548"/>
    </row>
    <row r="72" spans="1:50" s="546" customFormat="1" ht="13.2" x14ac:dyDescent="0.25">
      <c r="A72" s="133" t="str">
        <f>ЭЗ!A72</f>
        <v>3. Продуктивность личного вклада пед. работника в повышение качества образования</v>
      </c>
      <c r="C72" s="133"/>
      <c r="D72" s="554"/>
      <c r="E72" s="555"/>
      <c r="F72" s="555"/>
      <c r="G72" s="555"/>
      <c r="H72" s="555"/>
      <c r="J72" s="563"/>
      <c r="K72" s="545"/>
      <c r="Q72" s="547"/>
      <c r="R72" s="548"/>
    </row>
    <row r="73" spans="1:50" s="546" customFormat="1" ht="16.5" customHeight="1" x14ac:dyDescent="0.25">
      <c r="A73" s="808" t="s">
        <v>555</v>
      </c>
      <c r="B73" s="808"/>
      <c r="C73" s="808"/>
      <c r="D73" s="808"/>
      <c r="E73" s="808"/>
      <c r="F73" s="808"/>
      <c r="G73" s="808"/>
      <c r="H73" s="808"/>
      <c r="I73" s="564"/>
      <c r="J73" s="565" t="s">
        <v>114</v>
      </c>
      <c r="K73" s="545"/>
      <c r="Q73" s="547"/>
      <c r="R73" s="548"/>
    </row>
    <row r="74" spans="1:50" s="546" customFormat="1" ht="7.5" customHeight="1" x14ac:dyDescent="0.25">
      <c r="A74" s="566"/>
      <c r="B74" s="566"/>
      <c r="C74" s="566"/>
      <c r="D74" s="566"/>
      <c r="E74" s="566"/>
      <c r="F74" s="566"/>
      <c r="G74" s="566"/>
      <c r="H74" s="566"/>
      <c r="I74" s="567"/>
      <c r="J74" s="568"/>
      <c r="K74" s="545"/>
      <c r="Q74" s="547"/>
      <c r="R74" s="548"/>
    </row>
    <row r="75" spans="1:50" s="546" customFormat="1" ht="7.5" hidden="1" customHeight="1" x14ac:dyDescent="0.25">
      <c r="A75" s="566"/>
      <c r="B75" s="566"/>
      <c r="C75" s="566"/>
      <c r="D75" s="566"/>
      <c r="E75" s="566"/>
      <c r="F75" s="566"/>
      <c r="G75" s="566"/>
      <c r="H75" s="566"/>
      <c r="I75" s="567"/>
      <c r="J75" s="553"/>
      <c r="K75" s="545"/>
      <c r="Q75" s="547"/>
      <c r="R75" s="548"/>
    </row>
    <row r="76" spans="1:50" s="571" customFormat="1" ht="15.75" customHeight="1" x14ac:dyDescent="0.25">
      <c r="A76" s="804" t="s">
        <v>556</v>
      </c>
      <c r="B76" s="804"/>
      <c r="C76" s="804"/>
      <c r="D76" s="805"/>
      <c r="E76" s="805"/>
      <c r="F76" s="805"/>
      <c r="G76" s="805"/>
      <c r="H76" s="570" t="s">
        <v>557</v>
      </c>
      <c r="J76" s="572"/>
      <c r="K76" s="545"/>
      <c r="N76" s="16"/>
      <c r="O76" s="463"/>
      <c r="Q76" s="573"/>
      <c r="R76" s="451"/>
    </row>
    <row r="77" spans="1:50" s="571" customFormat="1" ht="13.2" x14ac:dyDescent="0.25">
      <c r="A77" s="132" t="s">
        <v>558</v>
      </c>
      <c r="B77" s="132"/>
      <c r="C77" s="564"/>
      <c r="D77" s="132" t="s">
        <v>559</v>
      </c>
      <c r="F77" s="574"/>
      <c r="I77" s="130"/>
      <c r="J77" s="575"/>
      <c r="K77" s="545"/>
      <c r="N77" s="16"/>
      <c r="O77" s="463"/>
      <c r="Q77" s="573"/>
      <c r="R77" s="451"/>
    </row>
    <row r="78" spans="1:50" s="546" customFormat="1" ht="4.5" customHeight="1" x14ac:dyDescent="0.25">
      <c r="A78" s="129"/>
      <c r="B78" s="350"/>
      <c r="C78" s="350"/>
      <c r="D78" s="554"/>
      <c r="E78" s="555"/>
      <c r="F78" s="555"/>
      <c r="G78" s="555"/>
      <c r="H78" s="555"/>
      <c r="I78" s="555"/>
      <c r="J78" s="553"/>
      <c r="K78" s="545"/>
      <c r="Q78" s="547"/>
      <c r="R78" s="548"/>
    </row>
    <row r="79" spans="1:50" s="546" customFormat="1" ht="13.2" x14ac:dyDescent="0.25">
      <c r="A79" s="558" t="s">
        <v>328</v>
      </c>
      <c r="B79" s="350"/>
      <c r="C79" s="350"/>
      <c r="D79" s="554"/>
      <c r="E79" s="555"/>
      <c r="F79" s="555"/>
      <c r="G79" s="555"/>
      <c r="H79" s="555"/>
      <c r="I79" s="555"/>
      <c r="J79" s="553"/>
      <c r="K79" s="545"/>
      <c r="Q79" s="547"/>
      <c r="R79" s="548"/>
    </row>
    <row r="80" spans="1:50" s="546" customFormat="1" ht="12.75" customHeight="1" x14ac:dyDescent="0.25">
      <c r="A80" s="129"/>
      <c r="B80" s="350"/>
      <c r="C80" s="806"/>
      <c r="D80" s="806"/>
      <c r="E80" s="806"/>
      <c r="F80" s="806"/>
      <c r="G80" s="806"/>
      <c r="H80" s="806"/>
      <c r="I80" s="806"/>
      <c r="J80" s="806"/>
      <c r="K80" s="545"/>
      <c r="L80" s="576"/>
      <c r="M80" s="576"/>
      <c r="N80" s="576"/>
      <c r="O80" s="576"/>
      <c r="P80" s="576"/>
      <c r="Q80" s="547"/>
      <c r="R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6"/>
      <c r="AN80" s="576"/>
      <c r="AO80" s="576"/>
      <c r="AP80" s="576"/>
      <c r="AQ80" s="576"/>
      <c r="AR80" s="576"/>
      <c r="AS80" s="576"/>
      <c r="AT80" s="576"/>
      <c r="AU80" s="576"/>
      <c r="AV80" s="576"/>
      <c r="AW80" s="576"/>
      <c r="AX80" s="576"/>
    </row>
    <row r="81" spans="1:50" s="546" customFormat="1" ht="13.2" x14ac:dyDescent="0.25">
      <c r="A81" s="129"/>
      <c r="B81" s="350"/>
      <c r="C81" s="806"/>
      <c r="D81" s="806"/>
      <c r="E81" s="806"/>
      <c r="F81" s="806"/>
      <c r="G81" s="806"/>
      <c r="H81" s="806"/>
      <c r="I81" s="806"/>
      <c r="J81" s="806"/>
      <c r="K81" s="545"/>
      <c r="L81" s="576"/>
      <c r="M81" s="576"/>
      <c r="N81" s="576"/>
      <c r="O81" s="576"/>
      <c r="P81" s="576"/>
      <c r="Q81" s="547"/>
      <c r="R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6"/>
      <c r="AF81" s="576"/>
      <c r="AG81" s="576"/>
      <c r="AH81" s="576"/>
      <c r="AI81" s="576"/>
      <c r="AJ81" s="576"/>
      <c r="AK81" s="576"/>
      <c r="AL81" s="576"/>
      <c r="AM81" s="576"/>
      <c r="AN81" s="576"/>
      <c r="AO81" s="576"/>
      <c r="AP81" s="576"/>
      <c r="AQ81" s="576"/>
      <c r="AR81" s="576"/>
      <c r="AS81" s="576"/>
      <c r="AT81" s="576"/>
      <c r="AU81" s="576"/>
      <c r="AV81" s="576"/>
      <c r="AW81" s="576"/>
      <c r="AX81" s="576"/>
    </row>
    <row r="82" spans="1:50" s="546" customFormat="1" ht="3" customHeight="1" x14ac:dyDescent="0.25">
      <c r="A82" s="129"/>
      <c r="B82" s="350"/>
      <c r="C82" s="806"/>
      <c r="D82" s="806"/>
      <c r="E82" s="806"/>
      <c r="F82" s="806"/>
      <c r="G82" s="806"/>
      <c r="H82" s="806"/>
      <c r="I82" s="806"/>
      <c r="J82" s="806"/>
      <c r="K82" s="545"/>
      <c r="L82" s="576"/>
      <c r="M82" s="576"/>
      <c r="N82" s="576"/>
      <c r="O82" s="576"/>
      <c r="P82" s="576"/>
      <c r="Q82" s="547"/>
      <c r="R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6"/>
      <c r="AK82" s="576"/>
      <c r="AL82" s="576"/>
      <c r="AM82" s="576"/>
      <c r="AN82" s="576"/>
      <c r="AO82" s="576"/>
      <c r="AP82" s="576"/>
      <c r="AQ82" s="576"/>
      <c r="AR82" s="576"/>
      <c r="AS82" s="576"/>
      <c r="AT82" s="576"/>
      <c r="AU82" s="576"/>
      <c r="AV82" s="576"/>
      <c r="AW82" s="576"/>
      <c r="AX82" s="576"/>
    </row>
    <row r="83" spans="1:50" s="546" customFormat="1" ht="3" customHeight="1" x14ac:dyDescent="0.25">
      <c r="A83" s="129"/>
      <c r="B83" s="350"/>
      <c r="C83" s="350"/>
      <c r="D83" s="554"/>
      <c r="E83" s="555"/>
      <c r="F83" s="555"/>
      <c r="G83" s="555"/>
      <c r="H83" s="555"/>
      <c r="I83" s="555"/>
      <c r="J83" s="553"/>
      <c r="K83" s="545"/>
      <c r="Q83" s="547"/>
      <c r="R83" s="548"/>
    </row>
    <row r="84" spans="1:50" s="571" customFormat="1" ht="15" customHeight="1" x14ac:dyDescent="0.25">
      <c r="A84" s="794" t="s">
        <v>560</v>
      </c>
      <c r="B84" s="794"/>
      <c r="C84" s="794"/>
      <c r="D84" s="554"/>
      <c r="E84" s="554"/>
      <c r="F84" s="554"/>
      <c r="G84" s="554"/>
      <c r="H84" s="554"/>
      <c r="I84" s="554"/>
      <c r="J84" s="553"/>
      <c r="K84" s="545"/>
      <c r="L84" s="577"/>
      <c r="M84" s="577"/>
      <c r="N84" s="577"/>
      <c r="O84" s="132"/>
      <c r="P84" s="132"/>
      <c r="Q84" s="547"/>
      <c r="R84" s="578"/>
    </row>
    <row r="85" spans="1:50" s="571" customFormat="1" ht="13.2" x14ac:dyDescent="0.25">
      <c r="A85" s="794"/>
      <c r="B85" s="794"/>
      <c r="C85" s="794"/>
      <c r="D85" s="133"/>
      <c r="E85" s="133"/>
      <c r="F85" s="579"/>
      <c r="G85" s="580"/>
      <c r="H85" s="580"/>
      <c r="I85" s="580"/>
      <c r="J85" s="553"/>
      <c r="K85" s="545"/>
      <c r="L85" s="577"/>
      <c r="M85" s="577"/>
      <c r="N85" s="133"/>
      <c r="O85" s="361"/>
      <c r="P85" s="581"/>
      <c r="Q85" s="547"/>
      <c r="R85" s="418"/>
    </row>
    <row r="86" spans="1:50" s="571" customFormat="1" ht="9.9" customHeight="1" x14ac:dyDescent="0.25">
      <c r="A86" s="794" t="s">
        <v>561</v>
      </c>
      <c r="B86" s="794"/>
      <c r="C86" s="794"/>
      <c r="D86" s="133"/>
      <c r="E86" s="133"/>
      <c r="F86" s="789" t="s">
        <v>159</v>
      </c>
      <c r="G86" s="789"/>
      <c r="H86" s="789"/>
      <c r="I86" s="789"/>
      <c r="J86" s="553"/>
      <c r="K86" s="545"/>
      <c r="L86" s="582"/>
      <c r="M86" s="582"/>
      <c r="N86" s="93"/>
      <c r="O86" s="133"/>
      <c r="P86" s="133"/>
      <c r="Q86" s="547"/>
      <c r="R86" s="583"/>
    </row>
    <row r="87" spans="1:50" s="571" customFormat="1" ht="15.75" customHeight="1" x14ac:dyDescent="0.25">
      <c r="A87" s="794"/>
      <c r="B87" s="794"/>
      <c r="C87" s="794"/>
      <c r="D87" s="133"/>
      <c r="E87" s="133"/>
      <c r="F87" s="579"/>
      <c r="G87" s="487"/>
      <c r="H87" s="487"/>
      <c r="I87" s="487"/>
      <c r="J87" s="553"/>
      <c r="K87" s="545"/>
      <c r="L87" s="132"/>
      <c r="M87" s="132"/>
      <c r="N87" s="133"/>
      <c r="O87" s="93"/>
      <c r="P87" s="93"/>
      <c r="Q87" s="547"/>
      <c r="R87" s="584"/>
    </row>
    <row r="88" spans="1:50" s="571" customFormat="1" ht="9.9" customHeight="1" x14ac:dyDescent="0.25">
      <c r="A88" s="451"/>
      <c r="B88" s="585"/>
      <c r="C88" s="554"/>
      <c r="D88" s="133"/>
      <c r="E88" s="133"/>
      <c r="F88" s="789" t="s">
        <v>159</v>
      </c>
      <c r="G88" s="789"/>
      <c r="H88" s="789"/>
      <c r="I88" s="789"/>
      <c r="J88" s="553"/>
      <c r="K88" s="545"/>
      <c r="L88" s="132"/>
      <c r="M88" s="132"/>
      <c r="N88" s="93"/>
      <c r="O88" s="133"/>
      <c r="P88" s="133"/>
      <c r="Q88" s="547"/>
      <c r="R88" s="583"/>
    </row>
    <row r="89" spans="1:50" s="571" customFormat="1" ht="15.6" x14ac:dyDescent="0.25">
      <c r="A89" s="451"/>
      <c r="B89" s="129"/>
      <c r="C89" s="554"/>
      <c r="D89" s="133"/>
      <c r="E89" s="133"/>
      <c r="F89" s="579"/>
      <c r="G89" s="569"/>
      <c r="H89" s="487"/>
      <c r="I89" s="487"/>
      <c r="J89" s="553"/>
      <c r="K89" s="545"/>
      <c r="L89" s="577"/>
      <c r="M89" s="577"/>
      <c r="N89" s="133"/>
      <c r="O89" s="93"/>
      <c r="P89" s="93"/>
      <c r="Q89" s="547"/>
      <c r="R89" s="584"/>
    </row>
    <row r="90" spans="1:50" s="571" customFormat="1" ht="11.25" customHeight="1" x14ac:dyDescent="0.25">
      <c r="B90" s="129"/>
      <c r="C90" s="554"/>
      <c r="D90" s="133"/>
      <c r="E90" s="133"/>
      <c r="F90" s="789" t="s">
        <v>159</v>
      </c>
      <c r="G90" s="789"/>
      <c r="H90" s="789"/>
      <c r="I90" s="789"/>
      <c r="J90" s="553"/>
      <c r="K90" s="545"/>
      <c r="L90" s="582"/>
      <c r="M90" s="133"/>
      <c r="N90" s="93"/>
      <c r="O90" s="133"/>
      <c r="P90" s="133"/>
      <c r="Q90" s="547"/>
      <c r="R90" s="583"/>
    </row>
    <row r="91" spans="1:50" s="571" customFormat="1" ht="11.25" customHeight="1" x14ac:dyDescent="0.25">
      <c r="B91" s="129"/>
      <c r="C91" s="554"/>
      <c r="D91" s="133"/>
      <c r="E91" s="133"/>
      <c r="F91" s="428"/>
      <c r="G91" s="428"/>
      <c r="H91" s="428"/>
      <c r="I91" s="428"/>
      <c r="J91" s="553"/>
      <c r="K91" s="545"/>
      <c r="L91" s="582"/>
      <c r="M91" s="133"/>
      <c r="N91" s="93"/>
      <c r="O91" s="133"/>
      <c r="P91" s="133"/>
      <c r="Q91" s="547"/>
      <c r="R91" s="583"/>
    </row>
    <row r="92" spans="1:50" s="571" customFormat="1" ht="15" customHeight="1" x14ac:dyDescent="0.25">
      <c r="A92" s="790" t="s">
        <v>53</v>
      </c>
      <c r="B92" s="790"/>
      <c r="C92" s="790"/>
      <c r="D92" s="790"/>
      <c r="E92" s="790"/>
      <c r="F92" s="790"/>
      <c r="G92" s="1189" t="s">
        <v>52</v>
      </c>
      <c r="H92" s="791"/>
      <c r="I92" s="791"/>
      <c r="J92" s="553"/>
      <c r="K92" s="545"/>
      <c r="L92" s="582"/>
      <c r="M92" s="93"/>
      <c r="N92" s="93"/>
      <c r="O92" s="133"/>
      <c r="P92" s="133"/>
      <c r="Q92" s="547"/>
      <c r="R92" s="583"/>
    </row>
    <row r="93" spans="1:50" s="571" customFormat="1" ht="12" customHeight="1" x14ac:dyDescent="0.25">
      <c r="A93" s="586"/>
      <c r="B93" s="586"/>
      <c r="C93" s="586"/>
      <c r="D93" s="586"/>
      <c r="E93" s="586"/>
      <c r="F93" s="586"/>
      <c r="G93" s="587"/>
      <c r="H93" s="587"/>
      <c r="I93" s="361"/>
      <c r="J93" s="553"/>
      <c r="K93" s="545"/>
      <c r="L93" s="582"/>
      <c r="M93" s="93"/>
      <c r="N93" s="93"/>
      <c r="O93" s="133"/>
      <c r="P93" s="133"/>
      <c r="Q93" s="547"/>
      <c r="R93" s="583"/>
    </row>
    <row r="94" spans="1:50" s="571" customFormat="1" ht="5.25" customHeight="1" x14ac:dyDescent="0.3">
      <c r="A94" s="451"/>
      <c r="B94" s="129"/>
      <c r="C94" s="134"/>
      <c r="D94" s="554"/>
      <c r="E94" s="554"/>
      <c r="F94" s="554"/>
      <c r="G94" s="554"/>
      <c r="H94" s="588"/>
      <c r="I94" s="554"/>
      <c r="J94" s="553"/>
      <c r="K94" s="545"/>
      <c r="L94" s="133" t="e">
        <f>IF(утв!#REF!&lt;&gt;"",утв!#REF!,"")</f>
        <v>#REF!</v>
      </c>
      <c r="M94" s="133"/>
      <c r="N94" s="589"/>
      <c r="O94" s="93"/>
      <c r="P94" s="93"/>
      <c r="Q94" s="547"/>
      <c r="R94" s="584"/>
    </row>
    <row r="95" spans="1:50" s="571" customFormat="1" ht="15.75" customHeight="1" x14ac:dyDescent="0.3">
      <c r="B95" s="809"/>
      <c r="C95" s="809"/>
      <c r="D95" s="809"/>
      <c r="E95" s="809"/>
      <c r="F95" s="809"/>
      <c r="G95" s="809"/>
      <c r="H95" s="809"/>
      <c r="I95" s="809"/>
      <c r="J95" s="590"/>
      <c r="K95" s="545"/>
      <c r="L95" s="582"/>
      <c r="M95" s="93"/>
      <c r="N95" s="589"/>
      <c r="O95" s="591"/>
      <c r="P95" s="592"/>
      <c r="Q95" s="547"/>
      <c r="R95" s="418"/>
    </row>
    <row r="96" spans="1:50" s="571" customFormat="1" ht="15.6" x14ac:dyDescent="0.3">
      <c r="A96" s="451"/>
      <c r="B96" s="1069" t="s">
        <v>562</v>
      </c>
      <c r="C96" s="1069"/>
      <c r="D96" s="1069"/>
      <c r="E96" s="1069"/>
      <c r="F96" s="1069"/>
      <c r="G96" s="1069"/>
      <c r="H96" s="1069"/>
      <c r="I96" s="1069"/>
      <c r="J96" s="553"/>
      <c r="K96" s="545"/>
      <c r="L96" s="133" t="e">
        <f>IF(утв!#REF!&lt;&gt;"",утв!#REF!,"")</f>
        <v>#REF!</v>
      </c>
      <c r="M96" s="133"/>
      <c r="N96" s="589"/>
      <c r="O96" s="594"/>
      <c r="P96" s="595"/>
      <c r="Q96" s="547"/>
      <c r="R96" s="418"/>
    </row>
    <row r="97" spans="1:18" s="571" customFormat="1" ht="1.5" customHeight="1" x14ac:dyDescent="0.3">
      <c r="A97" s="596" t="s">
        <v>169</v>
      </c>
      <c r="B97" s="593"/>
      <c r="C97" s="593"/>
      <c r="D97" s="593"/>
      <c r="E97" s="593"/>
      <c r="F97" s="593"/>
      <c r="G97" s="593"/>
      <c r="H97" s="593"/>
      <c r="I97" s="593"/>
      <c r="J97" s="553"/>
      <c r="K97" s="545"/>
      <c r="L97" s="133"/>
      <c r="M97" s="133"/>
      <c r="N97" s="577"/>
      <c r="O97" s="594"/>
      <c r="P97" s="595"/>
      <c r="Q97" s="547"/>
      <c r="R97" s="418"/>
    </row>
    <row r="98" spans="1:18" s="571" customFormat="1" ht="15.6" x14ac:dyDescent="0.25">
      <c r="A98" s="597" t="s">
        <v>563</v>
      </c>
      <c r="C98" s="135"/>
      <c r="E98" s="598"/>
      <c r="F98" s="579" t="str">
        <f>IF('общие сведения'!K25&lt;&gt;"",'общие сведения'!K25,"")</f>
        <v/>
      </c>
      <c r="J98" s="568"/>
      <c r="K98" s="545"/>
      <c r="L98" s="582"/>
      <c r="M98" s="93"/>
      <c r="N98" s="587"/>
      <c r="O98" s="361"/>
      <c r="P98" s="581"/>
      <c r="Q98" s="547"/>
      <c r="R98" s="418"/>
    </row>
    <row r="99" spans="1:18" s="571" customFormat="1" ht="15.6" x14ac:dyDescent="0.3">
      <c r="B99" s="361"/>
      <c r="C99" s="554"/>
      <c r="D99" s="997" t="s">
        <v>158</v>
      </c>
      <c r="E99" s="997"/>
      <c r="F99" s="997" t="s">
        <v>159</v>
      </c>
      <c r="G99" s="997"/>
      <c r="H99" s="997"/>
      <c r="I99" s="997"/>
      <c r="J99" s="553"/>
      <c r="K99" s="545"/>
      <c r="L99" s="582"/>
      <c r="M99" s="589"/>
      <c r="N99" s="587"/>
      <c r="O99" s="587"/>
      <c r="P99" s="587"/>
      <c r="Q99" s="547"/>
      <c r="R99" s="587"/>
    </row>
    <row r="100" spans="1:18" s="546" customFormat="1" ht="1.5" customHeight="1" x14ac:dyDescent="0.25">
      <c r="A100" s="129"/>
      <c r="B100" s="350"/>
      <c r="C100" s="350"/>
      <c r="D100" s="554"/>
      <c r="E100" s="555"/>
      <c r="F100" s="555"/>
      <c r="G100" s="555"/>
      <c r="H100" s="555"/>
      <c r="I100" s="555"/>
      <c r="J100" s="553"/>
      <c r="K100" s="545"/>
      <c r="Q100" s="547"/>
      <c r="R100" s="548"/>
    </row>
  </sheetData>
  <mergeCells count="48">
    <mergeCell ref="C80:J82"/>
    <mergeCell ref="A84:C85"/>
    <mergeCell ref="A86:C87"/>
    <mergeCell ref="F86:I86"/>
    <mergeCell ref="D99:E99"/>
    <mergeCell ref="F99:I99"/>
    <mergeCell ref="F88:I88"/>
    <mergeCell ref="F90:I90"/>
    <mergeCell ref="A92:F92"/>
    <mergeCell ref="G92:I92"/>
    <mergeCell ref="B95:I95"/>
    <mergeCell ref="B96:I96"/>
    <mergeCell ref="A66:J68"/>
    <mergeCell ref="A69:I69"/>
    <mergeCell ref="A73:H73"/>
    <mergeCell ref="A76:C76"/>
    <mergeCell ref="D76:G76"/>
    <mergeCell ref="A53:J56"/>
    <mergeCell ref="A59:E59"/>
    <mergeCell ref="A60:I60"/>
    <mergeCell ref="A61:J63"/>
    <mergeCell ref="A65:I65"/>
    <mergeCell ref="A50:D50"/>
    <mergeCell ref="E50:F50"/>
    <mergeCell ref="G50:H50"/>
    <mergeCell ref="A51:B51"/>
    <mergeCell ref="C51:F51"/>
    <mergeCell ref="A48:D48"/>
    <mergeCell ref="A49:D49"/>
    <mergeCell ref="E49:F49"/>
    <mergeCell ref="G49:H49"/>
    <mergeCell ref="I49:J49"/>
    <mergeCell ref="A46:B46"/>
    <mergeCell ref="C46:J46"/>
    <mergeCell ref="A47:C47"/>
    <mergeCell ref="D47:F47"/>
    <mergeCell ref="G47:J47"/>
    <mergeCell ref="A41:C41"/>
    <mergeCell ref="D41:J41"/>
    <mergeCell ref="A42:B42"/>
    <mergeCell ref="C42:J43"/>
    <mergeCell ref="A45:B45"/>
    <mergeCell ref="C45:J45"/>
    <mergeCell ref="B1:E1"/>
    <mergeCell ref="M32:N32"/>
    <mergeCell ref="A34:J34"/>
    <mergeCell ref="A36:J36"/>
    <mergeCell ref="A37:J38"/>
  </mergeCells>
  <conditionalFormatting sqref="E85:E91 I93 G93">
    <cfRule type="cellIs" dxfId="4" priority="9" stopIfTrue="1" operator="notEqual">
      <formula>"« __ » ___________  20__ г."</formula>
    </cfRule>
  </conditionalFormatting>
  <conditionalFormatting sqref="F85 F87 F89">
    <cfRule type="cellIs" dxfId="3" priority="8" stopIfTrue="1" operator="equal">
      <formula>"нет данных"</formula>
    </cfRule>
  </conditionalFormatting>
  <conditionalFormatting sqref="B95:I97">
    <cfRule type="cellIs" dxfId="2" priority="3" stopIfTrue="1" operator="equal">
      <formula>" "</formula>
    </cfRule>
  </conditionalFormatting>
  <conditionalFormatting sqref="D76 C77 I73">
    <cfRule type="cellIs" dxfId="1" priority="2" stopIfTrue="1" operator="equal">
      <formula>"уточните должность"</formula>
    </cfRule>
  </conditionalFormatting>
  <conditionalFormatting sqref="G92:I92">
    <cfRule type="cellIs" dxfId="0" priority="1" stopIfTrue="1" operator="notEqual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в   п.  1  и  2      _x000a_ -  0 баллов_x000a_" sqref="C80:J82"/>
    <dataValidation allowBlank="1" showInputMessage="1" showErrorMessage="1" promptTitle="Внимание!" prompt="Введите должность на листе_x000a_&quot;Общие сведения&quot;_x000a_" sqref="D76 C77"/>
    <dataValidation errorStyle="information" allowBlank="1" showInputMessage="1" showErrorMessage="1" promptTitle="Внимание!" prompt="Введите данные на листе _x000a_&quot;Общие сведения&quot;" sqref="A47:A48 I50:J50 G50 A49:F51 G49:I49 G51:I51 F59 C46:F47 G46:H48 E48:F48 I41:J48 A41:H45 B47"/>
    <dataValidation allowBlank="1" showInputMessage="1" showErrorMessage="1" promptTitle="Внимание!" prompt="Введите данные на листе _x000a_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B1:E1" location="'общие сведения'!A1" tooltip="Щелкните, чтобы перейти по ссылке" display="Перейти на лист &quot;общие сведения&quot;"/>
  </hyperlinks>
  <pageMargins left="0.70866141732283472" right="0.19685039370078741" top="1.2598425196850394" bottom="0.23622047244094491" header="0.51181102362204722" footer="0.39370078740157483"/>
  <pageSetup paperSize="9" scale="96" fitToHeight="1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общие сведения</vt:lpstr>
      <vt:lpstr>ЭЗ</vt:lpstr>
      <vt:lpstr>утв</vt:lpstr>
      <vt:lpstr>_72ч</vt:lpstr>
      <vt:lpstr>ЭЗ!_ftnref1</vt:lpstr>
      <vt:lpstr>ЭЗ!_ftnref2</vt:lpstr>
      <vt:lpstr>_дпо</vt:lpstr>
      <vt:lpstr>_рек3</vt:lpstr>
      <vt:lpstr>утв!fio</vt:lpstr>
      <vt:lpstr>fio</vt:lpstr>
      <vt:lpstr>proverka</vt:lpstr>
      <vt:lpstr>версия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доп_по</vt:lpstr>
      <vt:lpstr>итого_1</vt:lpstr>
      <vt:lpstr>итого_2</vt:lpstr>
      <vt:lpstr>итого_3</vt:lpstr>
      <vt:lpstr>'общие сведения'!Область_печати</vt:lpstr>
      <vt:lpstr>утв!Область_печати</vt:lpstr>
      <vt:lpstr>ЭЗ!Область_печати</vt:lpstr>
      <vt:lpstr>рез_2</vt:lpstr>
      <vt:lpstr>рез_3</vt:lpstr>
      <vt:lpstr>рек_итог</vt:lpstr>
      <vt:lpstr>рек_общ</vt:lpstr>
      <vt:lpstr>рек2</vt:lpstr>
      <vt:lpstr>рек3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Сергей Немцов</cp:lastModifiedBy>
  <cp:lastPrinted>2018-08-21T09:07:32Z</cp:lastPrinted>
  <dcterms:created xsi:type="dcterms:W3CDTF">2012-04-17T12:38:08Z</dcterms:created>
  <dcterms:modified xsi:type="dcterms:W3CDTF">2018-11-28T11:11:48Z</dcterms:modified>
</cp:coreProperties>
</file>