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'ЭЗ'!$B$284</definedName>
    <definedName name="_ftnref2" localSheetId="2">'утв'!#REF!</definedName>
    <definedName name="_ftnref2" localSheetId="1">'ЭЗ'!$B$351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'утв'!$D$41</definedName>
    <definedName name="fio">'ЭЗ'!$D$41</definedName>
    <definedName name="proverka" localSheetId="2">'утв'!#REF!</definedName>
    <definedName name="proverka">'ЭЗ'!$A$470</definedName>
    <definedName name="Версия">'общие сведения'!$P$1</definedName>
    <definedName name="всего" localSheetId="2">'утв'!#REF!</definedName>
    <definedName name="всего">'ЭЗ'!$H$419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'утв'!#REF!</definedName>
    <definedName name="итого_1">'ЭЗ'!$O$117</definedName>
    <definedName name="итого_2" localSheetId="2">'утв'!#REF!</definedName>
    <definedName name="итого_2">'ЭЗ'!$O$135</definedName>
    <definedName name="итого_3" localSheetId="2">'утв'!#REF!</definedName>
    <definedName name="итого_3">'ЭЗ'!$O$178</definedName>
    <definedName name="_xlnm.Print_Area" localSheetId="0">'общие сведения'!$A$3:$J$113</definedName>
    <definedName name="_xlnm.Print_Area" localSheetId="2">'утв'!$A$34:$J$99</definedName>
    <definedName name="_xlnm.Print_Area" localSheetId="1">'ЭЗ'!$A$34:$J$450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>Для редактирования - двойной щелчок левой кнопкой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"Физика" 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  <r>
          <rPr>
            <i/>
            <sz val="9"/>
            <rFont val="Tahoma"/>
            <family val="2"/>
          </rPr>
          <t xml:space="preserve">
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С.Е.</author>
    <author>pochutina_se</author>
  </authors>
  <commentList>
    <comment ref="L31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35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G192" authorId="1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19" authorId="1">
      <text>
        <r>
          <rPr>
            <b/>
            <sz val="9"/>
            <rFont val="Tahoma"/>
            <family val="2"/>
          </rPr>
          <t>Заполняется только на педагога, аттестующегося    на высшую квалификационную категорию</t>
        </r>
      </text>
    </comment>
    <comment ref="B272" authorId="2">
      <text>
        <r>
          <rPr>
            <b/>
            <sz val="9"/>
            <rFont val="Tahoma"/>
            <family val="2"/>
          </rPr>
          <t xml:space="preserve">Примечание:    
</t>
        </r>
        <r>
          <rPr>
            <sz val="9"/>
            <rFont val="Tahoma"/>
            <family val="2"/>
          </rPr>
          <t xml:space="preserve"> публикации учитываются в соответствии  с рекомендуемым перечнем.</t>
        </r>
      </text>
    </comment>
    <comment ref="B38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01" authorId="2">
      <text>
        <r>
          <rPr>
            <b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 
с 01.09.2013 г. учитываются только дипломы 
</t>
        </r>
      </text>
    </comment>
    <comment ref="I40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1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<sst xmlns="http://schemas.openxmlformats.org/spreadsheetml/2006/main" count="924" uniqueCount="580">
  <si>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</si>
  <si>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</si>
  <si>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</si>
  <si>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</si>
  <si>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</si>
  <si>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</si>
  <si>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</si>
  <si>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</si>
  <si>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</si>
  <si>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Муниципал. уровень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</si>
  <si>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</si>
  <si>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</si>
  <si>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</si>
  <si>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</si>
  <si>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</si>
  <si>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</si>
  <si>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</si>
  <si>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</si>
  <si>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</si>
  <si>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</si>
  <si>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</si>
  <si>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</rPr>
      <t>звания доцента</t>
    </r>
  </si>
  <si>
    <t>диплом, справка об обучении</t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</si>
  <si>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</si>
  <si>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</si>
  <si>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</si>
  <si>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</si>
  <si>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</si>
  <si>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</si>
  <si>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</si>
  <si>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</si>
  <si>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</si>
  <si>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</si>
  <si>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</si>
  <si>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</si>
  <si>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</si>
  <si>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</si>
  <si>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</si>
  <si>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</si>
  <si>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</si>
  <si>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</si>
  <si>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</si>
  <si>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</si>
  <si>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</si>
  <si>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</si>
  <si>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</si>
  <si>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</si>
  <si>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</si>
  <si>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</si>
  <si>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</si>
  <si>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</si>
  <si>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</si>
  <si>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</si>
  <si>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</si>
  <si>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</si>
  <si>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</si>
  <si>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</si>
  <si>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</si>
  <si>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</si>
  <si>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</si>
  <si>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</si>
  <si>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</si>
  <si>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</si>
  <si>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</si>
  <si>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</si>
  <si>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</si>
  <si>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</si>
  <si>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</si>
  <si>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</si>
  <si>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</si>
  <si>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</si>
  <si>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</si>
  <si>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</si>
  <si>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</si>
  <si>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</si>
  <si>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</si>
  <si>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</si>
  <si>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</si>
  <si>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</si>
  <si>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</si>
  <si>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</si>
  <si>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</si>
  <si>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</si>
  <si>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</si>
  <si>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</si>
  <si>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</si>
  <si>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</si>
  <si>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</si>
  <si>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</si>
  <si>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</si>
  <si>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</si>
  <si>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</si>
  <si>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</si>
  <si>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</si>
  <si>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</si>
  <si>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</si>
  <si>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</si>
  <si>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</si>
  <si>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</si>
  <si>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</si>
  <si>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</si>
  <si>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</si>
  <si>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</si>
  <si>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</si>
  <si>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</si>
  <si>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</si>
  <si>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</si>
  <si>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</si>
  <si>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</si>
  <si>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</si>
  <si>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</si>
  <si>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</si>
  <si>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</si>
  <si>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</si>
  <si>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</si>
  <si>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</si>
  <si>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</si>
  <si>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</si>
  <si>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</si>
  <si>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</si>
  <si>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</si>
  <si>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</si>
  <si>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</si>
  <si>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</si>
  <si>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</si>
  <si>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</si>
  <si>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</si>
  <si>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</si>
  <si>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</rPr>
      <t>)</t>
    </r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</si>
  <si>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</si>
  <si>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</si>
  <si>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</si>
  <si>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</si>
  <si>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</si>
  <si>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</si>
  <si>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</si>
  <si>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</si>
  <si>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</si>
  <si>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</si>
  <si>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</si>
  <si>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</si>
  <si>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</si>
  <si>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</si>
  <si>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</si>
  <si>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</si>
  <si>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</si>
  <si>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</si>
  <si>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</si>
  <si>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</si>
  <si>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</si>
  <si>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</si>
  <si>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</si>
  <si>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</si>
  <si>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</si>
  <si>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</si>
  <si>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</si>
  <si>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</si>
  <si>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</si>
  <si>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</si>
  <si>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</si>
  <si>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</si>
  <si>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</si>
  <si>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</si>
  <si>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</si>
  <si>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</si>
  <si>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</si>
  <si>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r>
      <t>3 и более - 70б</t>
    </r>
    <r>
      <rPr>
        <sz val="9"/>
        <rFont val="Times New Roman"/>
        <family val="1"/>
      </rPr>
      <t>.</t>
    </r>
  </si>
  <si>
    <t>Уровень квалификации</t>
  </si>
  <si>
    <t>20-50</t>
  </si>
  <si>
    <t xml:space="preserve">Не 
обучается
</t>
  </si>
  <si>
    <t>Не 
обучается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</si>
  <si>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</si>
  <si>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</si>
  <si>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</si>
  <si>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</si>
  <si>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</si>
  <si>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</si>
  <si>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</si>
  <si>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</si>
  <si>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</si>
  <si>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</si>
  <si>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</si>
  <si>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</si>
  <si>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</si>
  <si>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</si>
  <si>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</si>
  <si>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</si>
  <si>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</si>
  <si>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</si>
  <si>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</si>
  <si>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</si>
  <si>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</si>
  <si>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</si>
  <si>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</si>
  <si>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</si>
  <si>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</si>
  <si>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</si>
  <si>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</si>
  <si>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</si>
  <si>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</si>
  <si>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</si>
  <si>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</si>
  <si>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</si>
  <si>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</si>
  <si>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</si>
  <si>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</si>
  <si>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</si>
  <si>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</si>
  <si>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</si>
  <si>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</si>
  <si>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</si>
  <si>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</si>
  <si>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</si>
  <si>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</si>
  <si>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</si>
  <si>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</si>
  <si>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</si>
  <si>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</si>
  <si>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</si>
  <si>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</si>
  <si>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</si>
  <si>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</si>
  <si>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</si>
  <si>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</si>
  <si>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</si>
  <si>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</si>
  <si>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</si>
  <si>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</si>
  <si>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</si>
  <si>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</si>
  <si>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</si>
  <si>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</si>
  <si>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</si>
  <si>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</si>
  <si>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</si>
  <si>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</si>
  <si>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</si>
  <si>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</si>
  <si>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</si>
  <si>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</si>
  <si>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</si>
  <si>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</si>
  <si>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</si>
  <si>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</si>
  <si>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</si>
  <si>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</si>
  <si>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</si>
  <si>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</si>
  <si>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</si>
  <si>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</si>
  <si>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</si>
  <si>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</si>
  <si>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</si>
  <si>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</si>
  <si>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</si>
  <si>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</si>
  <si>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</si>
  <si>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</si>
  <si>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</si>
  <si>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</si>
  <si>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</si>
  <si>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</si>
  <si>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</si>
  <si>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</rPr>
      <t>1 год – 300 б.
2 года – 400 б.
3 и более – 500 б.</t>
    </r>
  </si>
  <si>
    <t>100-250</t>
  </si>
  <si>
    <t>300-500</t>
  </si>
  <si>
    <t>216 ч.</t>
  </si>
  <si>
    <t>(баллы не суммируются)</t>
  </si>
  <si>
    <t>Обеспечивается 
не в полном объеме</t>
  </si>
  <si>
    <t>Обеспечивается 
в полном объеме</t>
  </si>
  <si>
    <t xml:space="preserve">10-30  </t>
  </si>
  <si>
    <t>30-100</t>
  </si>
  <si>
    <t>70-150</t>
  </si>
  <si>
    <t>100-200</t>
  </si>
  <si>
    <t>Муниципал.</t>
  </si>
  <si>
    <t>Региональн.</t>
  </si>
  <si>
    <t>2 и более - 200б</t>
  </si>
  <si>
    <t>8 и более - 50б</t>
  </si>
  <si>
    <t>8 и более - 100б</t>
  </si>
  <si>
    <t>3 и более - 150б</t>
  </si>
  <si>
    <t>Участие -10б</t>
  </si>
  <si>
    <t>Участие-20б</t>
  </si>
  <si>
    <t>Участие-30б</t>
  </si>
  <si>
    <t>Участие-70б.</t>
  </si>
  <si>
    <t>Участие-100б.</t>
  </si>
  <si>
    <t>Междунар.</t>
  </si>
  <si>
    <t>Нет</t>
  </si>
  <si>
    <r>
      <t xml:space="preserve">   </t>
    </r>
    <r>
      <rPr>
        <sz val="8"/>
        <rFont val="Times New Roman"/>
        <family val="1"/>
      </rPr>
      <t xml:space="preserve">           </t>
    </r>
    <r>
      <rPr>
        <sz val="10"/>
        <rFont val="Times New Roman"/>
        <family val="1"/>
      </rPr>
      <t>Эксперт</t>
    </r>
    <r>
      <rPr>
        <sz val="3"/>
        <rFont val="Times New Roman"/>
        <family val="1"/>
      </rPr>
      <t xml:space="preserve"> 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</si>
  <si>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</si>
  <si>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</si>
  <si>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</si>
  <si>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</si>
  <si>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</si>
  <si>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</si>
  <si>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</si>
  <si>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</si>
  <si>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</si>
  <si>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</si>
  <si>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</si>
  <si>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</si>
  <si>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</si>
  <si>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</si>
  <si>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</si>
  <si>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</si>
  <si>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>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</si>
  <si>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</si>
  <si>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</si>
  <si>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</si>
  <si>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</si>
  <si>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</si>
  <si>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</si>
  <si>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</si>
  <si>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</si>
  <si>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</si>
  <si>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</si>
  <si>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</si>
  <si>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</si>
  <si>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</si>
  <si>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</si>
  <si>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</si>
  <si>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</si>
  <si>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</si>
  <si>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</si>
  <si>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</si>
  <si>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</si>
  <si>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</si>
  <si>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</si>
  <si>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</si>
  <si>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</si>
  <si>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</si>
  <si>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</si>
  <si>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</si>
  <si>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</si>
  <si>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</si>
  <si>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</si>
  <si>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</si>
  <si>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</si>
  <si>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</si>
  <si>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1-2 поб./пр.- 50б</t>
  </si>
  <si>
    <t>1 поб./пр.- 100б</t>
  </si>
  <si>
    <t>1 поб./пр.- 170б</t>
  </si>
  <si>
    <t xml:space="preserve">3-7 поб./пр.- 40б </t>
  </si>
  <si>
    <t xml:space="preserve">3-7 поб./пр.- 70б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</si>
  <si>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</si>
  <si>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</si>
  <si>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 xml:space="preserve"> 10-20 </t>
  </si>
  <si>
    <t>1-2 меропр.- 40б.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</si>
  <si>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</si>
  <si>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</si>
  <si>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</si>
  <si>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</si>
  <si>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</si>
  <si>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</si>
  <si>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</si>
  <si>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</si>
  <si>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</si>
  <si>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</si>
  <si>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</si>
  <si>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</si>
  <si>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</si>
  <si>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</si>
  <si>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</si>
  <si>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</si>
  <si>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10 - 50</t>
  </si>
  <si>
    <t>1.1.</t>
  </si>
  <si>
    <t>1.2.</t>
  </si>
  <si>
    <t>1.3.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</si>
  <si>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</si>
  <si>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</si>
  <si>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</si>
  <si>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</si>
  <si>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</si>
  <si>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</si>
  <si>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r>
      <t>Наличие почетных званий детского коллектива *</t>
    </r>
    <r>
      <rPr>
        <b/>
        <i/>
        <sz val="10"/>
        <rFont val="Times New Roman"/>
        <family val="1"/>
      </rPr>
      <t xml:space="preserve">
</t>
    </r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</si>
  <si>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</si>
  <si>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</si>
  <si>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</si>
  <si>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</si>
  <si>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</si>
  <si>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</si>
  <si>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</si>
  <si>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</si>
  <si>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</si>
  <si>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</si>
  <si>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</si>
  <si>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</si>
  <si>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</si>
  <si>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</si>
  <si>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</si>
  <si>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</si>
  <si>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</si>
  <si>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</si>
  <si>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</si>
  <si>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</si>
  <si>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</si>
  <si>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</si>
  <si>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</si>
  <si>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</si>
  <si>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</si>
  <si>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</si>
  <si>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</si>
  <si>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</si>
  <si>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</si>
  <si>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</si>
  <si>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</si>
  <si>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</si>
  <si>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</si>
  <si>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</si>
  <si>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(далее – Прил. № 6)</t>
  </si>
  <si>
    <t>ЭЗ!F347=0;ЭЗ!F358=0;G364&lt;&gt;100</t>
  </si>
  <si>
    <t>хормейстер</t>
  </si>
  <si>
    <t>хормейстера</t>
  </si>
  <si>
    <t>Методы формирования исполнительских навыков и мастерства</t>
  </si>
  <si>
    <t>Методы организации деятельности  обучающихся/ воспитанников</t>
  </si>
  <si>
    <t>Методы воспитания</t>
  </si>
  <si>
    <r>
      <t>Участие в проведении открытых занятий, мероприятий, 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</si>
  <si>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r>
      <t xml:space="preserve">Научные, научно-методические и учебно-методические публикации (статьи, пособия,  разработки, аран-
жировки,  репертуарные сборники и др.), в т.ч. в электронной версии на сайте профильных издательств  *
</t>
    </r>
  </si>
  <si>
    <t>Неудовле- творитель- ный уровень</t>
  </si>
  <si>
    <t>Удовлетво- рительный уровень</t>
  </si>
  <si>
    <t xml:space="preserve">Оптималь- ный уровень </t>
  </si>
  <si>
    <t>Высокий уровень</t>
  </si>
  <si>
    <r>
      <t xml:space="preserve">Участие в подготовке и проведении творческих проектов (концерты, торжественные вечера, конкурсы и др.):
</t>
    </r>
  </si>
  <si>
    <r>
      <t xml:space="preserve">- организация проведения,
- создание сценария,
- музыкальное оформление,
- звукозапись, электроакус-
тическое сопровождение  
 и др.  
</t>
    </r>
    <r>
      <rPr>
        <i/>
        <sz val="10"/>
        <color indexed="8"/>
        <rFont val="Times New Roman"/>
        <family val="1"/>
      </rPr>
      <t>(далее – Прил. № 6)</t>
    </r>
  </si>
  <si>
    <r>
      <t>Выступления на научно-практических конферен-
циях,педагогических чте-
ниях, семинарах,секциях, метод. объединениях</t>
    </r>
  </si>
  <si>
    <r>
      <t xml:space="preserve">(за исключением вопросов организационного характера) </t>
    </r>
    <r>
      <rPr>
        <sz val="10"/>
        <rFont val="Times New Roman"/>
        <family val="1"/>
      </rPr>
      <t>и др.</t>
    </r>
    <r>
      <rPr>
        <i/>
        <sz val="10"/>
        <rFont val="Times New Roman"/>
        <family val="1"/>
      </rPr>
      <t xml:space="preserve">
(далее – Прил. № 6)</t>
    </r>
  </si>
  <si>
    <r>
      <t xml:space="preserve">Участие в  конкурсах профессионального мастерства * 
</t>
    </r>
  </si>
  <si>
    <t>10-70</t>
  </si>
  <si>
    <t>20-120</t>
  </si>
  <si>
    <t>30-180</t>
  </si>
  <si>
    <t>50-250</t>
  </si>
  <si>
    <r>
      <t>Муницип./ зональный</t>
    </r>
    <r>
      <rPr>
        <sz val="8"/>
        <rFont val="Times New Roman"/>
        <family val="1"/>
      </rPr>
      <t xml:space="preserve"> уровни</t>
    </r>
  </si>
  <si>
    <t>победитель/ призер</t>
  </si>
  <si>
    <t>1 (I-II м)- 30б.</t>
  </si>
  <si>
    <t>1 (I-II м)- 50б.</t>
  </si>
  <si>
    <t>1(I-II м) - 80б.</t>
  </si>
  <si>
    <t>1 (I-II м)- 100</t>
  </si>
  <si>
    <t>1 (IIIм) - 20б.</t>
  </si>
  <si>
    <t>1 (IIIм) - 40б.</t>
  </si>
  <si>
    <t>1 (IIIм) - 60б.</t>
  </si>
  <si>
    <t>1 (IIIм) - 80б.</t>
  </si>
  <si>
    <t>2 и более (I-IIм)- 40б.</t>
  </si>
  <si>
    <t>2 и более (I-IIм)- 70б.</t>
  </si>
  <si>
    <t>2 и более (I-IIм)-100б.</t>
  </si>
  <si>
    <t>2 и более (I-IIм)- 150б.</t>
  </si>
  <si>
    <t>2 и более (III м)- 30б.</t>
  </si>
  <si>
    <t>2 и более (III м)- 50б.</t>
  </si>
  <si>
    <t>2 и более (III м)-80б.</t>
  </si>
  <si>
    <t>2 и более (III м)- 100б.</t>
  </si>
  <si>
    <t>Участие - 10б.</t>
  </si>
  <si>
    <t>Участие - 20б.</t>
  </si>
  <si>
    <t>Участие - 30б.</t>
  </si>
  <si>
    <t>Участие - 50б.</t>
  </si>
  <si>
    <t>Сертифи-
каты и др.</t>
  </si>
  <si>
    <t xml:space="preserve">
Не 
разрабатывает
</t>
  </si>
  <si>
    <r>
      <t xml:space="preserve">Совместная (с руководи-  телем, хореографом, пре-  подавателем)разработка тематических планов и программ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1)</t>
    </r>
  </si>
  <si>
    <t>Тематич. планы, програм-
мы</t>
  </si>
  <si>
    <t xml:space="preserve">
Разрабатывает периодически</t>
  </si>
  <si>
    <t xml:space="preserve">
Разрабатывает систематически</t>
  </si>
  <si>
    <r>
      <t xml:space="preserve">Учебно-методическое обеспечение  образова-
тельного процесса 
</t>
    </r>
    <r>
      <rPr>
        <i/>
        <sz val="10"/>
        <rFont val="Times New Roman"/>
        <family val="1"/>
      </rPr>
      <t>(далее – Прил. № 1)</t>
    </r>
  </si>
  <si>
    <t>Не 
обеспечивается</t>
  </si>
  <si>
    <t xml:space="preserve">Учреждения 
среднего и высшего профессионального образования </t>
  </si>
  <si>
    <t>10-50</t>
  </si>
  <si>
    <t>(далее – Прил. № 3)</t>
  </si>
  <si>
    <r>
      <t xml:space="preserve">Личное участие в кон- цертной и публичной деятельности  *             </t>
    </r>
    <r>
      <rPr>
        <sz val="10"/>
        <color indexed="8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 xml:space="preserve"> (далее – Прил. № 6)</t>
    </r>
    <r>
      <rPr>
        <sz val="11"/>
        <color indexed="8"/>
        <rFont val="Times New Roman"/>
        <family val="1"/>
      </rPr>
      <t xml:space="preserve">
</t>
    </r>
  </si>
  <si>
    <t>Обучение в аспиранту-
ре, соиска-
тельство</t>
  </si>
  <si>
    <t xml:space="preserve">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 
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</si>
  <si>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Концертмейстер</t>
    </r>
  </si>
  <si>
    <r>
      <t xml:space="preserve">Обучение в вузе/ сузе </t>
    </r>
    <r>
      <rPr>
        <sz val="10"/>
        <rFont val="Times New Roman"/>
        <family val="1"/>
      </rPr>
      <t>(музыкальное образование)</t>
    </r>
  </si>
  <si>
    <t xml:space="preserve">Наличие/получение высшего или среднего профессионального (музыкального) образования  </t>
  </si>
  <si>
    <t xml:space="preserve">  -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</si>
  <si>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</si>
  <si>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</si>
  <si>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t xml:space="preserve">
Программа 
ВПО/ ПП освоена полностью
</t>
  </si>
  <si>
    <r>
      <t xml:space="preserve">Результаты деятельнос-
ти обучающихся/воспи-
танников (с участием концертмейстера) в творческих проектах:
- конкурсах,
- фестивалях,
- конференциях      
и др. 
</t>
    </r>
    <r>
      <rPr>
        <i/>
        <sz val="10"/>
        <rFont val="Times New Roman"/>
        <family val="1"/>
      </rPr>
      <t>(далее – Прил. № 3)</t>
    </r>
    <r>
      <rPr>
        <i/>
        <sz val="3"/>
        <rFont val="Times New Roman"/>
        <family val="1"/>
      </rPr>
      <t xml:space="preserve">
</t>
    </r>
    <r>
      <rPr>
        <i/>
        <sz val="10"/>
        <rFont val="Times New Roman"/>
        <family val="1"/>
      </rPr>
      <t>Примечание: 
баллы за участие даются только при отсутствии победителей и призеров</t>
    </r>
  </si>
  <si>
    <r>
      <t xml:space="preserve">Внеучебная деятель- ность с обучающимися/ воспитанниками *:
</t>
    </r>
    <r>
      <rPr>
        <sz val="10"/>
        <color indexed="8"/>
        <rFont val="Times New Roman"/>
        <family val="1"/>
      </rPr>
      <t xml:space="preserve">- посещение концертов, конкурсов, муз.фестивалей;
- встречи с исполнителями;
- другое.
</t>
    </r>
    <r>
      <rPr>
        <i/>
        <sz val="10"/>
        <color indexed="8"/>
        <rFont val="Times New Roman"/>
        <family val="1"/>
      </rPr>
      <t>(далее – Прил. № 6)</t>
    </r>
  </si>
  <si>
    <r>
      <t xml:space="preserve"> -  Второе профессиональное образование 
(ВПО) *</t>
    </r>
    <r>
      <rPr>
        <sz val="8"/>
        <rFont val="Times New Roman"/>
        <family val="1"/>
      </rPr>
      <t xml:space="preserve"> 
</t>
    </r>
    <r>
      <rPr>
        <sz val="11"/>
        <rFont val="Times New Roman"/>
        <family val="1"/>
      </rPr>
      <t xml:space="preserve"> -  профессиональная переподготовка (ПП) *</t>
    </r>
  </si>
  <si>
    <r>
      <t>Обеспечение профессионального исполнения музыкаль- 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 фигурному катанию, плаванию) и др.</t>
    </r>
    <r>
      <rPr>
        <i/>
        <sz val="10"/>
        <rFont val="Times New Roman"/>
        <family val="1"/>
      </rPr>
      <t xml:space="preserve">                     
(Критерии профес. исполнения по уровням далее  Прил. № 2)</t>
    </r>
  </si>
  <si>
    <t>5.</t>
  </si>
  <si>
    <r>
      <t>Участие в проектно-исследовательской, опытно-эксперименталь- ной и др. научной и пуб-
личной деятельности, в т.ч. работа в жюри конкурсов, фестивалей, экспертных комиссиях 
и др.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6)</t>
    </r>
  </si>
  <si>
    <t>Специалисты 
экспертной группы:</t>
  </si>
  <si>
    <t>Председатель
экспертной группы</t>
  </si>
  <si>
    <t>Специалисты
экспертной группы:</t>
  </si>
  <si>
    <t>документы о получении  ВПО, ПП (в соответствии с занимаемой должностью), справки об обучении</t>
  </si>
  <si>
    <t>Наличие степени доктора наук,  звания профессора</t>
  </si>
  <si>
    <t>Оригинал/ копия свидетельства  Министерства образования, Министерства культуры (федеральн. и региональн.уровней) 
о присвоении почетного звания.</t>
  </si>
  <si>
    <t>Сертифи-
каты, программы конферен-
ций и др.</t>
  </si>
  <si>
    <t>Грамоты, дипломы</t>
  </si>
  <si>
    <t xml:space="preserve">Выписки из приказов, оформлен-
ные экспертные заключения </t>
  </si>
  <si>
    <t>грамоты, дипломы, благодарности и др.</t>
  </si>
  <si>
    <t>Общие сведения об аттестуемом педагогическом работнике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</si>
  <si>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</si>
  <si>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</si>
  <si>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</si>
  <si>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</si>
  <si>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</si>
  <si>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</si>
  <si>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</si>
  <si>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</si>
  <si>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</si>
  <si>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</si>
  <si>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сентября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</si>
  <si>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</si>
  <si>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</si>
  <si>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</si>
  <si>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</si>
  <si>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</si>
  <si>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</si>
  <si>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</si>
  <si>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</si>
  <si>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</si>
  <si>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</si>
  <si>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</si>
  <si>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</si>
  <si>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</si>
  <si>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</si>
  <si>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</si>
  <si>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</si>
  <si>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3. итого =</t>
  </si>
  <si>
    <t xml:space="preserve">ФОРМУЛЫ  </t>
  </si>
  <si>
    <t>1. итого =</t>
  </si>
  <si>
    <t>Перейти на лист "общие сведения"</t>
  </si>
  <si>
    <t>в конец ЭЗ</t>
  </si>
  <si>
    <t>Специализация</t>
  </si>
  <si>
    <t>государственных, муниципальных и частных образовательных организаций
 Московской области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</si>
  <si>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</si>
  <si>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</si>
  <si>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</si>
  <si>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</si>
  <si>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</si>
  <si>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</si>
  <si>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</si>
  <si>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</si>
  <si>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</si>
  <si>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</si>
  <si>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</si>
  <si>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</si>
  <si>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</si>
  <si>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</si>
  <si>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</si>
  <si>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>РЕЗУЛЬТАТЫ  ПРОФЕССИОНАЛЬНОЙ  ДЕЯТЕЛЬНОСТИ</t>
  </si>
  <si>
    <t xml:space="preserve">1. </t>
  </si>
  <si>
    <t xml:space="preserve">2. </t>
  </si>
  <si>
    <t xml:space="preserve">3. </t>
  </si>
  <si>
    <t>Освоение индивидуаль-
ной программы повы-
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</si>
  <si>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</si>
  <si>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</si>
  <si>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</si>
  <si>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</si>
  <si>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об уровне квалификации  педагогического работника (концертмейстер)</t>
  </si>
  <si>
    <t>утв</t>
  </si>
  <si>
    <t>государственных, муниципальных и частных образовательных организаций Московской области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</si>
  <si>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</si>
  <si>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</si>
  <si>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</si>
  <si>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</si>
  <si>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</si>
  <si>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</si>
  <si>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</si>
  <si>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</si>
  <si>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</si>
  <si>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</si>
  <si>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</si>
  <si>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</si>
  <si>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</si>
  <si>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</si>
  <si>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</si>
  <si>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</si>
  <si>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</si>
  <si>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Учебно-методи-
ческий материал 
и др. </t>
  </si>
  <si>
    <r>
      <t xml:space="preserve">Результаты поступлений обучающихся/воспитанников с участием концертмейстера в ссузы и вузы по специальностям сферы культуры и искусства*      </t>
    </r>
    <r>
      <rPr>
        <b/>
        <i/>
        <sz val="10"/>
        <rFont val="Times New Roman"/>
        <family val="1"/>
      </rPr>
      <t xml:space="preserve">
</t>
    </r>
  </si>
  <si>
    <t>Планы работы, программы мероприя-
тий
  и др.</t>
  </si>
  <si>
    <r>
      <t xml:space="preserve">Участие в деятельности профессиональных ассо-
циаций *     
</t>
    </r>
    <r>
      <rPr>
        <i/>
        <sz val="10"/>
        <color indexed="8"/>
        <rFont val="Times New Roman"/>
        <family val="1"/>
      </rPr>
      <t>(далее – Прил. № 6)</t>
    </r>
  </si>
  <si>
    <t>30б.</t>
  </si>
  <si>
    <t>40б.</t>
  </si>
  <si>
    <t>Планы работы, программы мероприя-
тий, членс-
кие билеты, удостовере- 
ния и др.</t>
  </si>
  <si>
    <t xml:space="preserve"> ЭЗ - 2018г</t>
  </si>
  <si>
    <t>50б.</t>
  </si>
  <si>
    <r>
      <t>70б</t>
    </r>
    <r>
      <rPr>
        <sz val="9"/>
        <rFont val="Times New Roman"/>
        <family val="1"/>
      </rPr>
      <t>.</t>
    </r>
  </si>
  <si>
    <t>100б.</t>
  </si>
  <si>
    <t>Тяжелова Марина Евгеньевна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</si>
</sst>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  <numFmt numFmtId="181" formatCode="###0&quot; баллов&quot;;\-###0&quot; баллов&quot;"/>
  </numFmts>
  <fonts count="1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i/>
      <sz val="10"/>
      <color indexed="8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9"/>
      <name val="Tahoma"/>
      <family val="2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i/>
      <sz val="8"/>
      <color indexed="62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i/>
      <sz val="8"/>
      <color indexed="12"/>
      <name val="Arial Cyr"/>
      <family val="0"/>
    </font>
    <font>
      <b/>
      <sz val="8"/>
      <name val="Times New Roman"/>
      <family val="1"/>
    </font>
    <font>
      <i/>
      <sz val="10"/>
      <color indexed="12"/>
      <name val="Arial Cyr"/>
      <family val="0"/>
    </font>
    <font>
      <i/>
      <sz val="11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0.5"/>
      <color indexed="12"/>
      <name val="Times New Roman"/>
      <family val="1"/>
    </font>
    <font>
      <sz val="9"/>
      <color indexed="18"/>
      <name val="Times New Roman"/>
      <family val="1"/>
    </font>
    <font>
      <b/>
      <i/>
      <sz val="9"/>
      <name val="Tahoma"/>
      <family val="2"/>
    </font>
    <font>
      <b/>
      <i/>
      <sz val="8"/>
      <color indexed="30"/>
      <name val="Arial Cyr"/>
      <family val="0"/>
    </font>
    <font>
      <sz val="8"/>
      <color indexed="20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sz val="9"/>
      <color indexed="36"/>
      <name val="Arial"/>
      <family val="2"/>
    </font>
    <font>
      <i/>
      <sz val="9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5" fillId="25" borderId="1" applyNumberFormat="0" applyAlignment="0" applyProtection="0"/>
    <xf numFmtId="0" fontId="146" fillId="26" borderId="2" applyNumberFormat="0" applyAlignment="0" applyProtection="0"/>
    <xf numFmtId="0" fontId="147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27" borderId="7" applyNumberFormat="0" applyAlignment="0" applyProtection="0"/>
    <xf numFmtId="0" fontId="153" fillId="0" borderId="0" applyNumberFormat="0" applyFill="0" applyBorder="0" applyAlignment="0" applyProtection="0"/>
    <xf numFmtId="0" fontId="154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155" fillId="29" borderId="0" applyNumberFormat="0" applyBorder="0" applyAlignment="0" applyProtection="0"/>
    <xf numFmtId="0" fontId="1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7" fillId="0" borderId="9" applyNumberFormat="0" applyFill="0" applyAlignment="0" applyProtection="0"/>
    <xf numFmtId="0" fontId="1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9" fillId="31" borderId="0" applyNumberFormat="0" applyBorder="0" applyAlignment="0" applyProtection="0"/>
  </cellStyleXfs>
  <cellXfs count="1111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5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4" borderId="15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30" fillId="0" borderId="1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39" fillId="0" borderId="20" xfId="0" applyFont="1" applyBorder="1" applyAlignment="1" applyProtection="1">
      <alignment horizontal="left" vertical="top"/>
      <protection hidden="1"/>
    </xf>
    <xf numFmtId="0" fontId="40" fillId="0" borderId="0" xfId="0" applyFont="1" applyBorder="1" applyAlignment="1" applyProtection="1">
      <alignment vertical="top" wrapText="1"/>
      <protection hidden="1"/>
    </xf>
    <xf numFmtId="0" fontId="40" fillId="0" borderId="12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39" fillId="0" borderId="2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0" fillId="0" borderId="20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39" fillId="0" borderId="19" xfId="0" applyFont="1" applyBorder="1" applyAlignment="1" applyProtection="1">
      <alignment horizontal="left" vertical="top"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1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Border="1" applyAlignment="1" applyProtection="1">
      <alignment horizontal="center" wrapText="1"/>
      <protection hidden="1"/>
    </xf>
    <xf numFmtId="0" fontId="46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Fill="1" applyBorder="1" applyAlignment="1" applyProtection="1">
      <alignment vertical="top"/>
      <protection/>
    </xf>
    <xf numFmtId="0" fontId="55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2" borderId="22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51" fillId="0" borderId="10" xfId="0" applyFont="1" applyBorder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3" borderId="19" xfId="0" applyFont="1" applyFill="1" applyBorder="1" applyAlignment="1" applyProtection="1">
      <alignment horizontal="left" vertical="top" indent="1"/>
      <protection locked="0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24" fillId="4" borderId="19" xfId="0" applyFont="1" applyFill="1" applyBorder="1" applyAlignment="1" applyProtection="1">
      <alignment horizontal="center" vertical="top"/>
      <protection locked="0"/>
    </xf>
    <xf numFmtId="1" fontId="23" fillId="33" borderId="19" xfId="0" applyNumberFormat="1" applyFont="1" applyFill="1" applyBorder="1" applyAlignment="1" applyProtection="1">
      <alignment horizontal="center"/>
      <protection locked="0"/>
    </xf>
    <xf numFmtId="1" fontId="23" fillId="33" borderId="19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7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4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 vertical="top" wrapText="1"/>
      <protection hidden="1"/>
    </xf>
    <xf numFmtId="0" fontId="27" fillId="32" borderId="19" xfId="0" applyFont="1" applyFill="1" applyBorder="1" applyAlignment="1" applyProtection="1">
      <alignment vertical="top"/>
      <protection hidden="1"/>
    </xf>
    <xf numFmtId="0" fontId="0" fillId="32" borderId="19" xfId="0" applyFill="1" applyBorder="1" applyAlignment="1" applyProtection="1">
      <alignment/>
      <protection hidden="1"/>
    </xf>
    <xf numFmtId="0" fontId="17" fillId="32" borderId="23" xfId="42" applyFill="1" applyBorder="1" applyAlignment="1" applyProtection="1">
      <alignment horizontal="left" vertical="top"/>
      <protection hidden="1"/>
    </xf>
    <xf numFmtId="0" fontId="27" fillId="32" borderId="23" xfId="0" applyFont="1" applyFill="1" applyBorder="1" applyAlignment="1" applyProtection="1">
      <alignment vertical="top" wrapText="1"/>
      <protection hidden="1"/>
    </xf>
    <xf numFmtId="0" fontId="27" fillId="32" borderId="23" xfId="0" applyFont="1" applyFill="1" applyBorder="1" applyAlignment="1" applyProtection="1">
      <alignment vertical="top"/>
      <protection hidden="1"/>
    </xf>
    <xf numFmtId="0" fontId="0" fillId="32" borderId="23" xfId="0" applyFill="1" applyBorder="1" applyAlignment="1" applyProtection="1">
      <alignment/>
      <protection hidden="1"/>
    </xf>
    <xf numFmtId="0" fontId="27" fillId="32" borderId="23" xfId="0" applyFont="1" applyFill="1" applyBorder="1" applyAlignment="1" applyProtection="1">
      <alignment horizontal="right" vertical="top" indent="1"/>
      <protection hidden="1"/>
    </xf>
    <xf numFmtId="0" fontId="0" fillId="32" borderId="23" xfId="0" applyFont="1" applyFill="1" applyBorder="1" applyAlignment="1" applyProtection="1">
      <alignment horizontal="left" vertical="top"/>
      <protection hidden="1"/>
    </xf>
    <xf numFmtId="0" fontId="6" fillId="32" borderId="23" xfId="0" applyFont="1" applyFill="1" applyBorder="1" applyAlignment="1" applyProtection="1">
      <alignment vertical="top"/>
      <protection hidden="1"/>
    </xf>
    <xf numFmtId="14" fontId="24" fillId="32" borderId="23" xfId="0" applyNumberFormat="1" applyFont="1" applyFill="1" applyBorder="1" applyAlignment="1" applyProtection="1">
      <alignment horizontal="left" vertical="top"/>
      <protection hidden="1"/>
    </xf>
    <xf numFmtId="0" fontId="24" fillId="32" borderId="23" xfId="0" applyFont="1" applyFill="1" applyBorder="1" applyAlignment="1" applyProtection="1">
      <alignment vertical="top"/>
      <protection hidden="1"/>
    </xf>
    <xf numFmtId="0" fontId="6" fillId="32" borderId="23" xfId="0" applyFont="1" applyFill="1" applyBorder="1" applyAlignment="1" applyProtection="1">
      <alignment horizontal="left" vertical="top"/>
      <protection hidden="1"/>
    </xf>
    <xf numFmtId="0" fontId="0" fillId="32" borderId="23" xfId="0" applyFont="1" applyFill="1" applyBorder="1" applyAlignment="1" applyProtection="1">
      <alignment horizontal="left" vertical="top" wrapText="1"/>
      <protection hidden="1"/>
    </xf>
    <xf numFmtId="0" fontId="6" fillId="32" borderId="0" xfId="0" applyFont="1" applyFill="1" applyAlignment="1" applyProtection="1">
      <alignment horizontal="left" vertical="top"/>
      <protection hidden="1"/>
    </xf>
    <xf numFmtId="0" fontId="0" fillId="32" borderId="0" xfId="0" applyFont="1" applyFill="1" applyAlignment="1" applyProtection="1">
      <alignment horizontal="left" vertical="top" wrapText="1"/>
      <protection hidden="1"/>
    </xf>
    <xf numFmtId="0" fontId="0" fillId="32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13" fillId="0" borderId="13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 vertical="top" wrapText="1"/>
      <protection hidden="1"/>
    </xf>
    <xf numFmtId="0" fontId="39" fillId="0" borderId="13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3" fontId="78" fillId="0" borderId="0" xfId="0" applyNumberFormat="1" applyFont="1" applyFill="1" applyBorder="1" applyAlignment="1" applyProtection="1">
      <alignment horizontal="left" vertical="top" indent="1"/>
      <protection hidden="1"/>
    </xf>
    <xf numFmtId="3" fontId="78" fillId="0" borderId="0" xfId="0" applyNumberFormat="1" applyFont="1" applyFill="1" applyBorder="1" applyAlignment="1" applyProtection="1">
      <alignment vertical="top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5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64" fillId="34" borderId="0" xfId="42" applyFont="1" applyFill="1" applyAlignment="1" applyProtection="1">
      <alignment vertical="center"/>
      <protection hidden="1"/>
    </xf>
    <xf numFmtId="0" fontId="24" fillId="35" borderId="13" xfId="0" applyFont="1" applyFill="1" applyBorder="1" applyAlignment="1" applyProtection="1">
      <alignment horizontal="center" vertical="top"/>
      <protection hidden="1"/>
    </xf>
    <xf numFmtId="0" fontId="87" fillId="0" borderId="0" xfId="0" applyFont="1" applyBorder="1" applyAlignment="1" applyProtection="1">
      <alignment/>
      <protection hidden="1"/>
    </xf>
    <xf numFmtId="0" fontId="88" fillId="0" borderId="0" xfId="0" applyFont="1" applyFill="1" applyBorder="1" applyAlignment="1" applyProtection="1">
      <alignment horizontal="left" vertical="top" indent="1"/>
      <protection hidden="1"/>
    </xf>
    <xf numFmtId="0" fontId="86" fillId="0" borderId="0" xfId="0" applyFont="1" applyFill="1" applyBorder="1" applyAlignment="1" applyProtection="1">
      <alignment vertical="top"/>
      <protection hidden="1"/>
    </xf>
    <xf numFmtId="0" fontId="6" fillId="0" borderId="15" xfId="0" applyFont="1" applyFill="1" applyBorder="1" applyAlignment="1" applyProtection="1">
      <alignment horizontal="left" vertical="top" indent="1"/>
      <protection hidden="1"/>
    </xf>
    <xf numFmtId="0" fontId="24" fillId="33" borderId="19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33" borderId="17" xfId="0" applyNumberFormat="1" applyFont="1" applyFill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3" xfId="0" applyFont="1" applyFill="1" applyBorder="1" applyAlignment="1" applyProtection="1">
      <alignment vertical="top"/>
      <protection hidden="1"/>
    </xf>
    <xf numFmtId="0" fontId="53" fillId="0" borderId="15" xfId="0" applyFont="1" applyBorder="1" applyAlignment="1" applyProtection="1">
      <alignment horizontal="right"/>
      <protection hidden="1"/>
    </xf>
    <xf numFmtId="0" fontId="89" fillId="0" borderId="0" xfId="0" applyFont="1" applyBorder="1" applyAlignment="1" applyProtection="1">
      <alignment/>
      <protection hidden="1"/>
    </xf>
    <xf numFmtId="0" fontId="54" fillId="0" borderId="19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2" fillId="35" borderId="13" xfId="0" applyFont="1" applyFill="1" applyBorder="1" applyAlignment="1" applyProtection="1">
      <alignment horizontal="center" vertical="top" wrapText="1"/>
      <protection hidden="1"/>
    </xf>
    <xf numFmtId="0" fontId="32" fillId="34" borderId="15" xfId="0" applyFont="1" applyFill="1" applyBorder="1" applyAlignment="1" applyProtection="1">
      <alignment horizontal="center" vertical="top" wrapText="1"/>
      <protection hidden="1"/>
    </xf>
    <xf numFmtId="0" fontId="24" fillId="34" borderId="0" xfId="0" applyFont="1" applyFill="1" applyBorder="1" applyAlignment="1" applyProtection="1">
      <alignment horizontal="center" vertical="top"/>
      <protection hidden="1"/>
    </xf>
    <xf numFmtId="0" fontId="32" fillId="34" borderId="13" xfId="0" applyFont="1" applyFill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left" vertical="top"/>
      <protection hidden="1"/>
    </xf>
    <xf numFmtId="0" fontId="30" fillId="0" borderId="17" xfId="0" applyFont="1" applyBorder="1" applyAlignment="1" applyProtection="1">
      <alignment horizontal="left"/>
      <protection hidden="1"/>
    </xf>
    <xf numFmtId="0" fontId="24" fillId="0" borderId="13" xfId="0" applyFont="1" applyFill="1" applyBorder="1" applyAlignment="1" applyProtection="1">
      <alignment horizontal="center" vertical="top"/>
      <protection hidden="1"/>
    </xf>
    <xf numFmtId="0" fontId="52" fillId="0" borderId="0" xfId="0" applyFont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0" fontId="24" fillId="0" borderId="15" xfId="0" applyFont="1" applyFill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left" vertical="top" indent="5"/>
      <protection hidden="1"/>
    </xf>
    <xf numFmtId="0" fontId="24" fillId="0" borderId="15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 vertical="top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Fill="1" applyBorder="1" applyAlignment="1" applyProtection="1">
      <alignment horizontal="left" vertical="top"/>
      <protection hidden="1"/>
    </xf>
    <xf numFmtId="0" fontId="27" fillId="0" borderId="15" xfId="0" applyFont="1" applyFill="1" applyBorder="1" applyAlignment="1" applyProtection="1">
      <alignment horizontal="right"/>
      <protection hidden="1"/>
    </xf>
    <xf numFmtId="1" fontId="19" fillId="0" borderId="13" xfId="0" applyNumberFormat="1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52" fillId="0" borderId="0" xfId="0" applyFont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9" fillId="0" borderId="13" xfId="0" applyFont="1" applyBorder="1" applyAlignment="1" applyProtection="1">
      <alignment horizontal="left" vertical="top" wrapText="1" indent="1"/>
      <protection hidden="1"/>
    </xf>
    <xf numFmtId="0" fontId="55" fillId="3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59" fillId="0" borderId="15" xfId="0" applyFont="1" applyBorder="1" applyAlignment="1" applyProtection="1">
      <alignment horizontal="left" vertical="top" wrapText="1" inden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53" fillId="3" borderId="24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27" fillId="0" borderId="13" xfId="0" applyFont="1" applyFill="1" applyBorder="1" applyAlignment="1" applyProtection="1">
      <alignment horizontal="left" vertical="top" indent="1"/>
      <protection locked="0"/>
    </xf>
    <xf numFmtId="0" fontId="27" fillId="0" borderId="13" xfId="0" applyFont="1" applyFill="1" applyBorder="1" applyAlignment="1" applyProtection="1">
      <alignment horizontal="left" vertical="top" indent="1"/>
      <protection hidden="1"/>
    </xf>
    <xf numFmtId="0" fontId="27" fillId="0" borderId="13" xfId="0" applyFont="1" applyFill="1" applyBorder="1" applyAlignment="1" applyProtection="1">
      <alignment horizontal="left" vertical="top" wrapText="1" indent="1"/>
      <protection locked="0"/>
    </xf>
    <xf numFmtId="0" fontId="0" fillId="0" borderId="15" xfId="0" applyFill="1" applyBorder="1" applyAlignment="1" applyProtection="1">
      <alignment horizontal="left" vertical="center"/>
      <protection hidden="1"/>
    </xf>
    <xf numFmtId="0" fontId="27" fillId="0" borderId="13" xfId="0" applyFont="1" applyFill="1" applyBorder="1" applyAlignment="1" applyProtection="1">
      <alignment horizontal="left" vertical="top" wrapText="1" indent="1"/>
      <protection hidden="1"/>
    </xf>
    <xf numFmtId="0" fontId="27" fillId="0" borderId="13" xfId="0" applyFont="1" applyFill="1" applyBorder="1" applyAlignment="1" applyProtection="1">
      <alignment vertical="top"/>
      <protection hidden="1"/>
    </xf>
    <xf numFmtId="0" fontId="60" fillId="0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56" fillId="0" borderId="15" xfId="0" applyFont="1" applyFill="1" applyBorder="1" applyAlignment="1" applyProtection="1">
      <alignment horizontal="left" vertical="top" indent="1"/>
      <protection hidden="1"/>
    </xf>
    <xf numFmtId="3" fontId="58" fillId="0" borderId="13" xfId="0" applyNumberFormat="1" applyFont="1" applyFill="1" applyBorder="1" applyAlignment="1" applyProtection="1">
      <alignment horizontal="left" vertical="top" indent="1"/>
      <protection hidden="1"/>
    </xf>
    <xf numFmtId="0" fontId="76" fillId="0" borderId="15" xfId="0" applyFont="1" applyFill="1" applyBorder="1" applyAlignment="1" applyProtection="1">
      <alignment horizontal="left" vertical="top" indent="1"/>
      <protection hidden="1"/>
    </xf>
    <xf numFmtId="3" fontId="78" fillId="0" borderId="13" xfId="0" applyNumberFormat="1" applyFont="1" applyFill="1" applyBorder="1" applyAlignment="1" applyProtection="1">
      <alignment horizontal="left" vertical="top" indent="1"/>
      <protection hidden="1"/>
    </xf>
    <xf numFmtId="3" fontId="27" fillId="0" borderId="13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wrapText="1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 wrapText="1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24" fillId="35" borderId="14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32" borderId="15" xfId="0" applyFont="1" applyFill="1" applyBorder="1" applyAlignment="1" applyProtection="1">
      <alignment horizontal="right" vertical="center"/>
      <protection hidden="1"/>
    </xf>
    <xf numFmtId="0" fontId="26" fillId="32" borderId="13" xfId="0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20" xfId="0" applyFont="1" applyBorder="1" applyAlignment="1" applyProtection="1">
      <alignment horizontal="left" vertical="top"/>
      <protection hidden="1"/>
    </xf>
    <xf numFmtId="0" fontId="15" fillId="0" borderId="20" xfId="0" applyFont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horizontal="right" vertical="top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3" fillId="0" borderId="0" xfId="0" applyFont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94" fillId="0" borderId="0" xfId="0" applyFont="1" applyAlignment="1" applyProtection="1">
      <alignment vertical="top" wrapText="1"/>
      <protection hidden="1"/>
    </xf>
    <xf numFmtId="0" fontId="0" fillId="0" borderId="25" xfId="0" applyBorder="1" applyAlignment="1" applyProtection="1">
      <alignment vertical="center"/>
      <protection hidden="1"/>
    </xf>
    <xf numFmtId="17" fontId="95" fillId="37" borderId="0" xfId="0" applyNumberFormat="1" applyFont="1" applyFill="1" applyAlignment="1" applyProtection="1">
      <alignment vertical="top"/>
      <protection hidden="1"/>
    </xf>
    <xf numFmtId="0" fontId="26" fillId="37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3" fillId="0" borderId="0" xfId="0" applyFont="1" applyAlignment="1" applyProtection="1">
      <alignment vertical="top"/>
      <protection hidden="1"/>
    </xf>
    <xf numFmtId="0" fontId="94" fillId="0" borderId="0" xfId="0" applyFont="1" applyAlignment="1" applyProtection="1">
      <alignment horizontal="center" vertical="top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94" fillId="0" borderId="0" xfId="0" applyFont="1" applyAlignment="1" applyProtection="1">
      <alignment vertical="top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2" borderId="18" xfId="0" applyFont="1" applyFill="1" applyBorder="1" applyAlignment="1" applyProtection="1">
      <alignment vertical="center"/>
      <protection hidden="1"/>
    </xf>
    <xf numFmtId="0" fontId="10" fillId="32" borderId="22" xfId="0" applyFont="1" applyFill="1" applyBorder="1" applyAlignment="1" applyProtection="1">
      <alignment vertical="center"/>
      <protection hidden="1"/>
    </xf>
    <xf numFmtId="0" fontId="10" fillId="32" borderId="23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vertical="center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/>
      <protection hidden="1"/>
    </xf>
    <xf numFmtId="0" fontId="98" fillId="0" borderId="15" xfId="0" applyFont="1" applyBorder="1" applyAlignment="1" applyProtection="1">
      <alignment/>
      <protection hidden="1"/>
    </xf>
    <xf numFmtId="0" fontId="98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98" fillId="0" borderId="13" xfId="0" applyFont="1" applyBorder="1" applyAlignment="1" applyProtection="1">
      <alignment/>
      <protection hidden="1"/>
    </xf>
    <xf numFmtId="0" fontId="98" fillId="0" borderId="0" xfId="0" applyFont="1" applyBorder="1" applyAlignment="1" applyProtection="1">
      <alignment horizontal="right"/>
      <protection hidden="1"/>
    </xf>
    <xf numFmtId="0" fontId="98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48" fillId="38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0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top"/>
      <protection hidden="1"/>
    </xf>
    <xf numFmtId="0" fontId="103" fillId="0" borderId="0" xfId="0" applyFont="1" applyAlignment="1" applyProtection="1">
      <alignment vertical="top"/>
      <protection hidden="1"/>
    </xf>
    <xf numFmtId="0" fontId="104" fillId="0" borderId="0" xfId="0" applyFont="1" applyAlignment="1" applyProtection="1">
      <alignment vertical="top"/>
      <protection hidden="1"/>
    </xf>
    <xf numFmtId="0" fontId="104" fillId="0" borderId="0" xfId="0" applyFont="1" applyBorder="1" applyAlignment="1" applyProtection="1">
      <alignment vertical="top"/>
      <protection hidden="1"/>
    </xf>
    <xf numFmtId="0" fontId="104" fillId="0" borderId="0" xfId="0" applyFont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32" borderId="25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/>
    </xf>
    <xf numFmtId="0" fontId="0" fillId="32" borderId="15" xfId="0" applyFill="1" applyBorder="1" applyAlignment="1" applyProtection="1">
      <alignment vertical="center"/>
      <protection hidden="1"/>
    </xf>
    <xf numFmtId="0" fontId="0" fillId="32" borderId="13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9" fillId="0" borderId="18" xfId="0" applyFont="1" applyBorder="1" applyAlignment="1" applyProtection="1">
      <alignment horizontal="center" vertical="top"/>
      <protection hidden="1"/>
    </xf>
    <xf numFmtId="49" fontId="9" fillId="0" borderId="18" xfId="0" applyNumberFormat="1" applyFont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16" xfId="0" applyFill="1" applyBorder="1" applyAlignment="1" applyProtection="1">
      <alignment vertical="center"/>
      <protection hidden="1"/>
    </xf>
    <xf numFmtId="0" fontId="0" fillId="32" borderId="17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Fill="1" applyAlignment="1" applyProtection="1">
      <alignment/>
      <protection hidden="1"/>
    </xf>
    <xf numFmtId="1" fontId="9" fillId="0" borderId="10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justify" vertical="top" wrapText="1"/>
      <protection hidden="1"/>
    </xf>
    <xf numFmtId="0" fontId="15" fillId="0" borderId="18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justify" vertical="top" wrapText="1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0" fillId="39" borderId="0" xfId="0" applyFill="1" applyAlignment="1" applyProtection="1" quotePrefix="1">
      <alignment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6" fillId="39" borderId="0" xfId="0" applyFont="1" applyFill="1" applyAlignment="1" applyProtection="1">
      <alignment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98" fillId="0" borderId="15" xfId="0" applyFont="1" applyBorder="1" applyAlignment="1" applyProtection="1">
      <alignment horizontal="left" vertical="top" wrapText="1" indent="1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98" fillId="0" borderId="13" xfId="0" applyFont="1" applyBorder="1" applyAlignment="1" applyProtection="1">
      <alignment horizontal="left" vertical="top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0" fillId="37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4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18" fillId="0" borderId="19" xfId="0" applyFont="1" applyBorder="1" applyAlignment="1" applyProtection="1">
      <alignment horizontal="left" vertical="top" wrapText="1" indent="1"/>
      <protection hidden="1"/>
    </xf>
    <xf numFmtId="0" fontId="18" fillId="0" borderId="19" xfId="0" applyFont="1" applyBorder="1" applyAlignment="1" applyProtection="1">
      <alignment horizontal="right" vertical="top" indent="1"/>
      <protection hidden="1"/>
    </xf>
    <xf numFmtId="0" fontId="18" fillId="0" borderId="19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24" fillId="40" borderId="15" xfId="0" applyFont="1" applyFill="1" applyBorder="1" applyAlignment="1" applyProtection="1">
      <alignment horizontal="left" vertical="top"/>
      <protection hidden="1"/>
    </xf>
    <xf numFmtId="0" fontId="42" fillId="40" borderId="0" xfId="0" applyFont="1" applyFill="1" applyBorder="1" applyAlignment="1" applyProtection="1">
      <alignment/>
      <protection hidden="1"/>
    </xf>
    <xf numFmtId="0" fontId="17" fillId="40" borderId="26" xfId="42" applyFill="1" applyBorder="1" applyAlignment="1" applyProtection="1">
      <alignment/>
      <protection hidden="1"/>
    </xf>
    <xf numFmtId="0" fontId="17" fillId="40" borderId="27" xfId="42" applyFill="1" applyBorder="1" applyAlignment="1" applyProtection="1">
      <alignment/>
      <protection hidden="1"/>
    </xf>
    <xf numFmtId="1" fontId="0" fillId="40" borderId="0" xfId="0" applyNumberForma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17" fillId="40" borderId="28" xfId="42" applyFill="1" applyBorder="1" applyAlignment="1" applyProtection="1">
      <alignment/>
      <protection hidden="1"/>
    </xf>
    <xf numFmtId="0" fontId="17" fillId="40" borderId="29" xfId="42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17" fillId="40" borderId="30" xfId="42" applyFill="1" applyBorder="1" applyAlignment="1" applyProtection="1">
      <alignment/>
      <protection hidden="1"/>
    </xf>
    <xf numFmtId="0" fontId="17" fillId="40" borderId="31" xfId="42" applyFill="1" applyBorder="1" applyAlignment="1" applyProtection="1">
      <alignment/>
      <protection hidden="1"/>
    </xf>
    <xf numFmtId="0" fontId="0" fillId="40" borderId="13" xfId="0" applyFill="1" applyBorder="1" applyAlignment="1" applyProtection="1">
      <alignment/>
      <protection hidden="1"/>
    </xf>
    <xf numFmtId="179" fontId="24" fillId="33" borderId="19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0" fillId="38" borderId="15" xfId="0" applyFill="1" applyBorder="1" applyAlignment="1" applyProtection="1">
      <alignment/>
      <protection hidden="1"/>
    </xf>
    <xf numFmtId="0" fontId="107" fillId="0" borderId="25" xfId="0" applyFont="1" applyFill="1" applyBorder="1" applyAlignment="1" applyProtection="1">
      <alignment horizontal="center" vertical="top"/>
      <protection hidden="1"/>
    </xf>
    <xf numFmtId="179" fontId="108" fillId="33" borderId="19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7" fillId="0" borderId="11" xfId="0" applyFont="1" applyBorder="1" applyAlignment="1" applyProtection="1">
      <alignment horizontal="left"/>
      <protection hidden="1"/>
    </xf>
    <xf numFmtId="0" fontId="107" fillId="0" borderId="10" xfId="0" applyFont="1" applyBorder="1" applyAlignment="1" applyProtection="1">
      <alignment horizontal="left"/>
      <protection hidden="1"/>
    </xf>
    <xf numFmtId="0" fontId="109" fillId="0" borderId="0" xfId="0" applyFont="1" applyBorder="1" applyAlignment="1" applyProtection="1">
      <alignment horizontal="right" vertical="top"/>
      <protection hidden="1"/>
    </xf>
    <xf numFmtId="14" fontId="47" fillId="33" borderId="19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5" xfId="0" applyFont="1" applyFill="1" applyBorder="1" applyAlignment="1" applyProtection="1">
      <alignment/>
      <protection hidden="1"/>
    </xf>
    <xf numFmtId="179" fontId="108" fillId="33" borderId="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91" fillId="0" borderId="15" xfId="0" applyFont="1" applyFill="1" applyBorder="1" applyAlignment="1" applyProtection="1">
      <alignment horizontal="left" vertical="center" wrapText="1" indent="1"/>
      <protection hidden="1"/>
    </xf>
    <xf numFmtId="0" fontId="91" fillId="0" borderId="0" xfId="0" applyFont="1" applyFill="1" applyBorder="1" applyAlignment="1" applyProtection="1">
      <alignment horizontal="left" vertical="center" wrapText="1" indent="1"/>
      <protection hidden="1"/>
    </xf>
    <xf numFmtId="0" fontId="91" fillId="0" borderId="13" xfId="0" applyFont="1" applyFill="1" applyBorder="1" applyAlignment="1" applyProtection="1">
      <alignment horizontal="left" vertical="center" wrapText="1" inden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7" fillId="0" borderId="19" xfId="0" applyFont="1" applyFill="1" applyBorder="1" applyAlignment="1" applyProtection="1">
      <alignment vertical="top"/>
      <protection hidden="1"/>
    </xf>
    <xf numFmtId="0" fontId="47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0" fillId="0" borderId="0" xfId="0" applyFont="1" applyFill="1" applyBorder="1" applyAlignment="1" applyProtection="1">
      <alignment vertical="top"/>
      <protection hidden="1"/>
    </xf>
    <xf numFmtId="1" fontId="24" fillId="4" borderId="19" xfId="0" applyNumberFormat="1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2" fillId="0" borderId="15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top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7" fillId="4" borderId="17" xfId="0" applyNumberFormat="1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Alignment="1" applyProtection="1">
      <alignment horizontal="left" indent="1"/>
      <protection hidden="1"/>
    </xf>
    <xf numFmtId="0" fontId="60" fillId="0" borderId="15" xfId="0" applyFont="1" applyFill="1" applyBorder="1" applyAlignment="1" applyProtection="1">
      <alignment horizontal="center" vertical="top"/>
      <protection hidden="1"/>
    </xf>
    <xf numFmtId="0" fontId="112" fillId="0" borderId="0" xfId="0" applyFont="1" applyFill="1" applyBorder="1" applyAlignment="1" applyProtection="1">
      <alignment horizontal="right" vertical="top"/>
      <protection hidden="1"/>
    </xf>
    <xf numFmtId="0" fontId="107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2" fillId="0" borderId="0" xfId="0" applyFont="1" applyFill="1" applyBorder="1" applyAlignment="1" applyProtection="1">
      <alignment vertical="top"/>
      <protection hidden="1"/>
    </xf>
    <xf numFmtId="0" fontId="113" fillId="0" borderId="10" xfId="0" applyFont="1" applyBorder="1" applyAlignment="1" applyProtection="1">
      <alignment wrapText="1"/>
      <protection hidden="1"/>
    </xf>
    <xf numFmtId="0" fontId="60" fillId="0" borderId="15" xfId="0" applyFont="1" applyFill="1" applyBorder="1" applyAlignment="1" applyProtection="1">
      <alignment vertical="top" wrapText="1"/>
      <protection hidden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60" fillId="0" borderId="13" xfId="0" applyFont="1" applyFill="1" applyBorder="1" applyAlignment="1" applyProtection="1">
      <alignment vertical="top" wrapText="1"/>
      <protection hidden="1"/>
    </xf>
    <xf numFmtId="1" fontId="114" fillId="0" borderId="0" xfId="0" applyNumberFormat="1" applyFont="1" applyFill="1" applyBorder="1" applyAlignment="1" applyProtection="1">
      <alignment horizontal="center" vertical="top"/>
      <protection locked="0"/>
    </xf>
    <xf numFmtId="0" fontId="87" fillId="0" borderId="15" xfId="0" applyFont="1" applyBorder="1" applyAlignment="1" applyProtection="1">
      <alignment/>
      <protection hidden="1"/>
    </xf>
    <xf numFmtId="0" fontId="88" fillId="0" borderId="0" xfId="0" applyFont="1" applyFill="1" applyBorder="1" applyAlignment="1" applyProtection="1">
      <alignment vertical="top"/>
      <protection hidden="1"/>
    </xf>
    <xf numFmtId="0" fontId="86" fillId="0" borderId="13" xfId="0" applyFont="1" applyFill="1" applyBorder="1" applyAlignment="1" applyProtection="1">
      <alignment vertical="top"/>
      <protection hidden="1"/>
    </xf>
    <xf numFmtId="1" fontId="27" fillId="33" borderId="19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right" vertical="top" indent="1"/>
      <protection hidden="1"/>
    </xf>
    <xf numFmtId="0" fontId="6" fillId="0" borderId="13" xfId="0" applyFont="1" applyFill="1" applyBorder="1" applyAlignment="1" applyProtection="1">
      <alignment horizontal="left" vertical="top" indent="1"/>
      <protection hidden="1"/>
    </xf>
    <xf numFmtId="0" fontId="0" fillId="39" borderId="15" xfId="0" applyFill="1" applyBorder="1" applyAlignment="1" applyProtection="1" quotePrefix="1">
      <alignment/>
      <protection hidden="1"/>
    </xf>
    <xf numFmtId="0" fontId="32" fillId="38" borderId="0" xfId="0" applyFont="1" applyFill="1" applyAlignment="1" applyProtection="1">
      <alignment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32" fillId="38" borderId="10" xfId="0" applyFont="1" applyFill="1" applyBorder="1" applyAlignment="1" applyProtection="1">
      <alignment horizontal="right" vertical="center"/>
      <protection hidden="1"/>
    </xf>
    <xf numFmtId="0" fontId="0" fillId="32" borderId="25" xfId="0" applyFill="1" applyBorder="1" applyAlignment="1" applyProtection="1">
      <alignment horizontal="left" vertical="center"/>
      <protection hidden="1"/>
    </xf>
    <xf numFmtId="0" fontId="0" fillId="32" borderId="14" xfId="0" applyFill="1" applyBorder="1" applyAlignment="1" applyProtection="1">
      <alignment horizontal="right" vertical="center"/>
      <protection hidden="1"/>
    </xf>
    <xf numFmtId="0" fontId="115" fillId="4" borderId="0" xfId="0" applyFont="1" applyFill="1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9" borderId="15" xfId="0" applyFont="1" applyFill="1" applyBorder="1" applyAlignment="1" applyProtection="1">
      <alignment horizontal="left" vertical="center"/>
      <protection hidden="1"/>
    </xf>
    <xf numFmtId="14" fontId="116" fillId="0" borderId="0" xfId="0" applyNumberFormat="1" applyFont="1" applyFill="1" applyBorder="1" applyAlignment="1" applyProtection="1">
      <alignment horizontal="center" vertical="top"/>
      <protection hidden="1"/>
    </xf>
    <xf numFmtId="14" fontId="116" fillId="0" borderId="0" xfId="0" applyNumberFormat="1" applyFont="1" applyBorder="1" applyAlignment="1" applyProtection="1">
      <alignment horizontal="left"/>
      <protection hidden="1"/>
    </xf>
    <xf numFmtId="14" fontId="7" fillId="0" borderId="0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 wrapText="1"/>
      <protection hidden="1"/>
    </xf>
    <xf numFmtId="17" fontId="95" fillId="0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left" vertical="top" indent="1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3" fontId="11" fillId="0" borderId="0" xfId="0" applyNumberFormat="1" applyFont="1" applyAlignment="1" applyProtection="1">
      <alignment vertical="top" wrapText="1"/>
      <protection hidden="1"/>
    </xf>
    <xf numFmtId="0" fontId="47" fillId="0" borderId="0" xfId="0" applyFont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8" fillId="0" borderId="19" xfId="0" applyFont="1" applyBorder="1" applyAlignment="1" applyProtection="1">
      <alignment horizontal="center" vertical="top"/>
      <protection hidden="1"/>
    </xf>
    <xf numFmtId="0" fontId="94" fillId="0" borderId="0" xfId="0" applyFont="1" applyAlignment="1" applyProtection="1">
      <alignment/>
      <protection hidden="1"/>
    </xf>
    <xf numFmtId="181" fontId="7" fillId="0" borderId="19" xfId="0" applyNumberFormat="1" applyFont="1" applyBorder="1" applyAlignment="1" applyProtection="1">
      <alignment horizontal="right"/>
      <protection hidden="1"/>
    </xf>
    <xf numFmtId="181" fontId="7" fillId="0" borderId="23" xfId="0" applyNumberFormat="1" applyFont="1" applyBorder="1" applyAlignment="1" applyProtection="1">
      <alignment horizontal="right"/>
      <protection hidden="1"/>
    </xf>
    <xf numFmtId="0" fontId="47" fillId="0" borderId="19" xfId="0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 indent="3"/>
      <protection hidden="1"/>
    </xf>
    <xf numFmtId="0" fontId="18" fillId="0" borderId="0" xfId="0" applyFont="1" applyBorder="1" applyAlignment="1" applyProtection="1">
      <alignment horizontal="right" indent="4"/>
      <protection hidden="1"/>
    </xf>
    <xf numFmtId="17" fontId="95" fillId="0" borderId="0" xfId="0" applyNumberFormat="1" applyFont="1" applyFill="1" applyBorder="1" applyAlignment="1" applyProtection="1">
      <alignment vertical="top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7" fontId="97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39" borderId="15" xfId="0" applyFont="1" applyFill="1" applyBorder="1" applyAlignment="1" applyProtection="1">
      <alignment/>
      <protection hidden="1"/>
    </xf>
    <xf numFmtId="0" fontId="47" fillId="0" borderId="0" xfId="0" applyFont="1" applyBorder="1" applyAlignment="1" applyProtection="1">
      <alignment horizontal="right" indent="2"/>
      <protection hidden="1"/>
    </xf>
    <xf numFmtId="17" fontId="97" fillId="0" borderId="0" xfId="0" applyNumberFormat="1" applyFont="1" applyFill="1" applyAlignment="1" applyProtection="1">
      <alignment vertical="top"/>
      <protection hidden="1"/>
    </xf>
    <xf numFmtId="0" fontId="5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left" indent="1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40" fillId="0" borderId="0" xfId="0" applyFont="1" applyBorder="1" applyAlignment="1" applyProtection="1">
      <alignment/>
      <protection hidden="1"/>
    </xf>
    <xf numFmtId="17" fontId="95" fillId="0" borderId="19" xfId="0" applyNumberFormat="1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 indent="1"/>
      <protection hidden="1"/>
    </xf>
    <xf numFmtId="1" fontId="0" fillId="0" borderId="0" xfId="0" applyNumberFormat="1" applyFont="1" applyBorder="1" applyAlignment="1" applyProtection="1">
      <alignment horizontal="left" indent="2"/>
      <protection hidden="1"/>
    </xf>
    <xf numFmtId="49" fontId="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25" xfId="0" applyFont="1" applyFill="1" applyBorder="1" applyAlignment="1" applyProtection="1">
      <alignment horizontal="left" vertical="center"/>
      <protection hidden="1"/>
    </xf>
    <xf numFmtId="0" fontId="0" fillId="4" borderId="14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 indent="1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0" fillId="41" borderId="0" xfId="0" applyFill="1" applyAlignment="1" applyProtection="1">
      <alignment/>
      <protection hidden="1"/>
    </xf>
    <xf numFmtId="0" fontId="160" fillId="42" borderId="0" xfId="0" applyFont="1" applyFill="1" applyAlignment="1">
      <alignment/>
    </xf>
    <xf numFmtId="0" fontId="160" fillId="25" borderId="0" xfId="0" applyFont="1" applyFill="1" applyAlignment="1">
      <alignment/>
    </xf>
    <xf numFmtId="0" fontId="160" fillId="30" borderId="0" xfId="0" applyFont="1" applyFill="1" applyAlignment="1">
      <alignment/>
    </xf>
    <xf numFmtId="0" fontId="161" fillId="42" borderId="0" xfId="0" applyFont="1" applyFill="1" applyAlignment="1">
      <alignment/>
    </xf>
    <xf numFmtId="0" fontId="123" fillId="0" borderId="0" xfId="0" applyFont="1" applyAlignment="1">
      <alignment/>
    </xf>
    <xf numFmtId="0" fontId="48" fillId="43" borderId="0" xfId="0" applyFont="1" applyFill="1" applyAlignment="1">
      <alignment/>
    </xf>
    <xf numFmtId="0" fontId="48" fillId="43" borderId="0" xfId="0" applyFont="1" applyFill="1" applyAlignment="1">
      <alignment horizontal="right"/>
    </xf>
    <xf numFmtId="0" fontId="161" fillId="25" borderId="0" xfId="0" applyFont="1" applyFill="1" applyAlignment="1">
      <alignment/>
    </xf>
    <xf numFmtId="0" fontId="122" fillId="42" borderId="0" xfId="0" applyFont="1" applyFill="1" applyAlignment="1">
      <alignment/>
    </xf>
    <xf numFmtId="0" fontId="162" fillId="25" borderId="0" xfId="0" applyFont="1" applyFill="1" applyAlignment="1">
      <alignment/>
    </xf>
    <xf numFmtId="0" fontId="162" fillId="42" borderId="0" xfId="0" applyFont="1" applyFill="1" applyAlignment="1">
      <alignment/>
    </xf>
    <xf numFmtId="0" fontId="161" fillId="30" borderId="0" xfId="0" applyFont="1" applyFill="1" applyAlignment="1">
      <alignment/>
    </xf>
    <xf numFmtId="0" fontId="160" fillId="44" borderId="0" xfId="0" applyFont="1" applyFill="1" applyAlignment="1">
      <alignment/>
    </xf>
    <xf numFmtId="0" fontId="122" fillId="44" borderId="0" xfId="0" applyFont="1" applyFill="1" applyAlignment="1">
      <alignment/>
    </xf>
    <xf numFmtId="0" fontId="163" fillId="25" borderId="0" xfId="0" applyFont="1" applyFill="1" applyAlignment="1">
      <alignment/>
    </xf>
    <xf numFmtId="0" fontId="163" fillId="42" borderId="0" xfId="0" applyFont="1" applyFill="1" applyAlignment="1">
      <alignment/>
    </xf>
    <xf numFmtId="0" fontId="48" fillId="0" borderId="0" xfId="0" applyFont="1" applyAlignment="1">
      <alignment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3" fontId="27" fillId="33" borderId="19" xfId="0" applyNumberFormat="1" applyFont="1" applyFill="1" applyBorder="1" applyAlignment="1" applyProtection="1">
      <alignment horizontal="left" vertical="top" indent="1"/>
      <protection/>
    </xf>
    <xf numFmtId="0" fontId="75" fillId="40" borderId="0" xfId="0" applyFont="1" applyFill="1" applyBorder="1" applyAlignment="1" applyProtection="1">
      <alignment horizontal="center" vertical="top" wrapText="1"/>
      <protection hidden="1"/>
    </xf>
    <xf numFmtId="0" fontId="75" fillId="40" borderId="13" xfId="0" applyFont="1" applyFill="1" applyBorder="1" applyAlignment="1" applyProtection="1">
      <alignment horizontal="center" vertical="top" wrapText="1"/>
      <protection hidden="1"/>
    </xf>
    <xf numFmtId="0" fontId="42" fillId="40" borderId="0" xfId="0" applyFont="1" applyFill="1" applyBorder="1" applyAlignment="1" applyProtection="1">
      <alignment horizontal="center" vertical="top" wrapText="1"/>
      <protection hidden="1"/>
    </xf>
    <xf numFmtId="0" fontId="42" fillId="40" borderId="13" xfId="0" applyFont="1" applyFill="1" applyBorder="1" applyAlignment="1" applyProtection="1">
      <alignment horizontal="center" vertical="top" wrapText="1"/>
      <protection hidden="1"/>
    </xf>
    <xf numFmtId="0" fontId="24" fillId="35" borderId="25" xfId="0" applyFont="1" applyFill="1" applyBorder="1" applyAlignment="1" applyProtection="1">
      <alignment horizontal="center" vertical="top"/>
      <protection hidden="1"/>
    </xf>
    <xf numFmtId="0" fontId="24" fillId="35" borderId="21" xfId="0" applyFont="1" applyFill="1" applyBorder="1" applyAlignment="1" applyProtection="1">
      <alignment horizontal="center" vertical="top"/>
      <protection hidden="1"/>
    </xf>
    <xf numFmtId="0" fontId="24" fillId="35" borderId="0" xfId="0" applyFont="1" applyFill="1" applyBorder="1" applyAlignment="1" applyProtection="1">
      <alignment horizontal="center" vertical="top"/>
      <protection hidden="1"/>
    </xf>
    <xf numFmtId="0" fontId="27" fillId="4" borderId="19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33" borderId="19" xfId="0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4" fillId="35" borderId="25" xfId="0" applyFont="1" applyFill="1" applyBorder="1" applyAlignment="1" applyProtection="1">
      <alignment horizontal="center" vertical="center"/>
      <protection hidden="1"/>
    </xf>
    <xf numFmtId="0" fontId="44" fillId="35" borderId="21" xfId="0" applyFont="1" applyFill="1" applyBorder="1" applyAlignment="1" applyProtection="1">
      <alignment horizontal="center" vertical="center"/>
      <protection hidden="1"/>
    </xf>
    <xf numFmtId="0" fontId="44" fillId="35" borderId="14" xfId="0" applyFont="1" applyFill="1" applyBorder="1" applyAlignment="1" applyProtection="1">
      <alignment horizontal="center" vertical="center"/>
      <protection hidden="1"/>
    </xf>
    <xf numFmtId="0" fontId="44" fillId="35" borderId="16" xfId="0" applyFont="1" applyFill="1" applyBorder="1" applyAlignment="1" applyProtection="1">
      <alignment horizontal="center" vertical="center"/>
      <protection hidden="1"/>
    </xf>
    <xf numFmtId="0" fontId="44" fillId="35" borderId="19" xfId="0" applyFont="1" applyFill="1" applyBorder="1" applyAlignment="1" applyProtection="1">
      <alignment horizontal="center" vertical="center"/>
      <protection hidden="1"/>
    </xf>
    <xf numFmtId="0" fontId="44" fillId="35" borderId="17" xfId="0" applyFont="1" applyFill="1" applyBorder="1" applyAlignment="1" applyProtection="1">
      <alignment horizontal="center" vertical="center"/>
      <protection hidden="1"/>
    </xf>
    <xf numFmtId="0" fontId="27" fillId="33" borderId="19" xfId="0" applyFont="1" applyFill="1" applyBorder="1" applyAlignment="1" applyProtection="1">
      <alignment horizontal="left" vertical="top" indent="1"/>
      <protection locked="0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19" xfId="0" applyFont="1" applyFill="1" applyBorder="1" applyAlignment="1" applyProtection="1">
      <alignment horizontal="left" vertical="top" wrapText="1" indent="1"/>
      <protection locked="0"/>
    </xf>
    <xf numFmtId="0" fontId="97" fillId="40" borderId="25" xfId="0" applyFont="1" applyFill="1" applyBorder="1" applyAlignment="1" applyProtection="1">
      <alignment horizontal="center" vertical="center" wrapText="1"/>
      <protection hidden="1"/>
    </xf>
    <xf numFmtId="0" fontId="97" fillId="40" borderId="21" xfId="0" applyFont="1" applyFill="1" applyBorder="1" applyAlignment="1" applyProtection="1">
      <alignment horizontal="center" vertical="center" wrapText="1"/>
      <protection hidden="1"/>
    </xf>
    <xf numFmtId="0" fontId="97" fillId="40" borderId="14" xfId="0" applyFont="1" applyFill="1" applyBorder="1" applyAlignment="1" applyProtection="1">
      <alignment horizontal="center" vertical="center" wrapText="1"/>
      <protection hidden="1"/>
    </xf>
    <xf numFmtId="3" fontId="9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98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47" fillId="4" borderId="15" xfId="0" applyFont="1" applyFill="1" applyBorder="1" applyAlignment="1" applyProtection="1">
      <alignment horizontal="left" indent="1"/>
      <protection locked="0"/>
    </xf>
    <xf numFmtId="0" fontId="47" fillId="4" borderId="0" xfId="0" applyFont="1" applyFill="1" applyBorder="1" applyAlignment="1" applyProtection="1">
      <alignment horizontal="left" indent="1"/>
      <protection locked="0"/>
    </xf>
    <xf numFmtId="3" fontId="27" fillId="33" borderId="19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 wrapText="1"/>
      <protection hidden="1"/>
    </xf>
    <xf numFmtId="3" fontId="58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1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3" fontId="18" fillId="4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18" fillId="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4" fillId="33" borderId="19" xfId="0" applyFont="1" applyFill="1" applyBorder="1" applyAlignment="1" applyProtection="1">
      <alignment horizontal="center" vertical="top"/>
      <protection locked="0"/>
    </xf>
    <xf numFmtId="0" fontId="43" fillId="40" borderId="32" xfId="0" applyFont="1" applyFill="1" applyBorder="1" applyAlignment="1" applyProtection="1">
      <alignment horizontal="center" vertical="top"/>
      <protection locked="0"/>
    </xf>
    <xf numFmtId="0" fontId="43" fillId="40" borderId="33" xfId="0" applyFont="1" applyFill="1" applyBorder="1" applyAlignment="1" applyProtection="1">
      <alignment horizontal="center" vertical="top"/>
      <protection locked="0"/>
    </xf>
    <xf numFmtId="0" fontId="32" fillId="35" borderId="15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8" fillId="4" borderId="15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indent="1"/>
      <protection locked="0"/>
    </xf>
    <xf numFmtId="0" fontId="47" fillId="45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horizontal="center" vertical="center"/>
      <protection/>
    </xf>
    <xf numFmtId="3" fontId="18" fillId="4" borderId="15" xfId="0" applyNumberFormat="1" applyFont="1" applyFill="1" applyBorder="1" applyAlignment="1" applyProtection="1">
      <alignment horizontal="center" vertical="center" wrapText="1"/>
      <protection hidden="1"/>
    </xf>
    <xf numFmtId="3" fontId="18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8" xfId="0" applyFont="1" applyBorder="1" applyAlignment="1" applyProtection="1">
      <alignment horizontal="left" vertical="top" wrapText="1" indent="1"/>
      <protection hidden="1"/>
    </xf>
    <xf numFmtId="0" fontId="59" fillId="0" borderId="23" xfId="0" applyFont="1" applyBorder="1" applyAlignment="1" applyProtection="1">
      <alignment horizontal="left" vertical="top" wrapText="1" indent="1"/>
      <protection hidden="1"/>
    </xf>
    <xf numFmtId="0" fontId="59" fillId="0" borderId="22" xfId="0" applyFont="1" applyBorder="1" applyAlignment="1" applyProtection="1">
      <alignment horizontal="left" vertical="top" wrapText="1" indent="1"/>
      <protection hidden="1"/>
    </xf>
    <xf numFmtId="0" fontId="91" fillId="3" borderId="15" xfId="0" applyFont="1" applyFill="1" applyBorder="1" applyAlignment="1" applyProtection="1">
      <alignment horizontal="left" vertical="center" wrapText="1" indent="1"/>
      <protection hidden="1"/>
    </xf>
    <xf numFmtId="0" fontId="91" fillId="3" borderId="0" xfId="0" applyFont="1" applyFill="1" applyBorder="1" applyAlignment="1" applyProtection="1">
      <alignment horizontal="left" vertical="center" wrapText="1" indent="1"/>
      <protection hidden="1"/>
    </xf>
    <xf numFmtId="0" fontId="91" fillId="3" borderId="13" xfId="0" applyFont="1" applyFill="1" applyBorder="1" applyAlignment="1" applyProtection="1">
      <alignment horizontal="left" vertical="center" wrapText="1" indent="1"/>
      <protection hidden="1"/>
    </xf>
    <xf numFmtId="0" fontId="24" fillId="35" borderId="15" xfId="0" applyFont="1" applyFill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 wrapText="1" indent="1"/>
      <protection hidden="1"/>
    </xf>
    <xf numFmtId="0" fontId="0" fillId="0" borderId="19" xfId="0" applyBorder="1" applyAlignment="1" applyProtection="1">
      <alignment horizontal="left" wrapText="1" indent="1"/>
      <protection hidden="1"/>
    </xf>
    <xf numFmtId="0" fontId="64" fillId="32" borderId="15" xfId="42" applyFont="1" applyFill="1" applyBorder="1" applyAlignment="1" applyProtection="1">
      <alignment horizontal="center" vertical="center"/>
      <protection hidden="1"/>
    </xf>
    <xf numFmtId="0" fontId="64" fillId="32" borderId="0" xfId="42" applyFont="1" applyFill="1" applyBorder="1" applyAlignment="1" applyProtection="1">
      <alignment horizontal="center" vertical="center"/>
      <protection hidden="1"/>
    </xf>
    <xf numFmtId="0" fontId="64" fillId="32" borderId="13" xfId="42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44" fillId="35" borderId="15" xfId="0" applyFont="1" applyFill="1" applyBorder="1" applyAlignment="1" applyProtection="1">
      <alignment horizontal="center" vertical="center"/>
      <protection hidden="1"/>
    </xf>
    <xf numFmtId="0" fontId="44" fillId="35" borderId="0" xfId="0" applyFont="1" applyFill="1" applyBorder="1" applyAlignment="1" applyProtection="1">
      <alignment horizontal="center" vertical="center"/>
      <protection hidden="1"/>
    </xf>
    <xf numFmtId="0" fontId="44" fillId="35" borderId="13" xfId="0" applyFont="1" applyFill="1" applyBorder="1" applyAlignment="1" applyProtection="1">
      <alignment horizontal="center" vertical="center"/>
      <protection hidden="1"/>
    </xf>
    <xf numFmtId="3" fontId="27" fillId="4" borderId="0" xfId="0" applyNumberFormat="1" applyFont="1" applyFill="1" applyBorder="1" applyAlignment="1" applyProtection="1">
      <alignment horizontal="left" vertical="top"/>
      <protection locked="0"/>
    </xf>
    <xf numFmtId="0" fontId="25" fillId="35" borderId="25" xfId="0" applyFont="1" applyFill="1" applyBorder="1" applyAlignment="1" applyProtection="1">
      <alignment horizontal="center" vertical="top"/>
      <protection hidden="1"/>
    </xf>
    <xf numFmtId="0" fontId="25" fillId="35" borderId="21" xfId="0" applyFont="1" applyFill="1" applyBorder="1" applyAlignment="1" applyProtection="1">
      <alignment horizontal="center" vertical="top"/>
      <protection hidden="1"/>
    </xf>
    <xf numFmtId="0" fontId="98" fillId="0" borderId="15" xfId="0" applyFont="1" applyBorder="1" applyAlignment="1" applyProtection="1">
      <alignment horizontal="left" vertical="top" wrapText="1" indent="1"/>
      <protection hidden="1"/>
    </xf>
    <xf numFmtId="0" fontId="98" fillId="0" borderId="0" xfId="0" applyFont="1" applyBorder="1" applyAlignment="1" applyProtection="1">
      <alignment horizontal="left" vertical="top" wrapText="1" indent="1"/>
      <protection hidden="1"/>
    </xf>
    <xf numFmtId="0" fontId="98" fillId="0" borderId="13" xfId="0" applyFont="1" applyBorder="1" applyAlignment="1" applyProtection="1">
      <alignment horizontal="left" vertical="top" wrapText="1" indent="1"/>
      <protection hidden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left"/>
    </xf>
    <xf numFmtId="0" fontId="102" fillId="0" borderId="19" xfId="0" applyFont="1" applyBorder="1" applyAlignment="1" applyProtection="1">
      <alignment horizontal="left" vertical="top" wrapText="1"/>
      <protection hidden="1"/>
    </xf>
    <xf numFmtId="0" fontId="98" fillId="0" borderId="16" xfId="0" applyFont="1" applyBorder="1" applyAlignment="1" applyProtection="1">
      <alignment horizontal="left" vertical="top" wrapText="1" indent="1"/>
      <protection hidden="1"/>
    </xf>
    <xf numFmtId="0" fontId="98" fillId="0" borderId="19" xfId="0" applyFont="1" applyBorder="1" applyAlignment="1" applyProtection="1">
      <alignment horizontal="left" vertical="top" wrapText="1" indent="1"/>
      <protection hidden="1"/>
    </xf>
    <xf numFmtId="0" fontId="98" fillId="0" borderId="17" xfId="0" applyFont="1" applyBorder="1" applyAlignment="1" applyProtection="1">
      <alignment horizontal="left" vertical="top" wrapText="1" indent="1"/>
      <protection hidden="1"/>
    </xf>
    <xf numFmtId="0" fontId="87" fillId="0" borderId="15" xfId="0" applyFont="1" applyBorder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9" fillId="0" borderId="25" xfId="0" applyFont="1" applyBorder="1" applyAlignment="1" applyProtection="1">
      <alignment horizontal="left" vertical="top" wrapText="1" indent="1"/>
      <protection hidden="1"/>
    </xf>
    <xf numFmtId="0" fontId="59" fillId="0" borderId="21" xfId="0" applyFont="1" applyBorder="1" applyAlignment="1" applyProtection="1">
      <alignment horizontal="left" vertical="top" wrapText="1" indent="1"/>
      <protection hidden="1"/>
    </xf>
    <xf numFmtId="0" fontId="59" fillId="0" borderId="14" xfId="0" applyFont="1" applyBorder="1" applyAlignment="1" applyProtection="1">
      <alignment horizontal="left" vertical="top" wrapText="1" indent="1"/>
      <protection hidden="1"/>
    </xf>
    <xf numFmtId="0" fontId="59" fillId="0" borderId="16" xfId="0" applyFont="1" applyBorder="1" applyAlignment="1" applyProtection="1">
      <alignment horizontal="left" vertical="top" wrapText="1" indent="1"/>
      <protection hidden="1"/>
    </xf>
    <xf numFmtId="0" fontId="59" fillId="0" borderId="19" xfId="0" applyFont="1" applyBorder="1" applyAlignment="1" applyProtection="1">
      <alignment horizontal="left" vertical="top" wrapText="1" indent="1"/>
      <protection hidden="1"/>
    </xf>
    <xf numFmtId="0" fontId="59" fillId="0" borderId="17" xfId="0" applyFont="1" applyBorder="1" applyAlignment="1" applyProtection="1">
      <alignment horizontal="left" vertical="top" wrapText="1" indent="1"/>
      <protection hidden="1"/>
    </xf>
    <xf numFmtId="0" fontId="99" fillId="0" borderId="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11" fillId="34" borderId="15" xfId="0" applyFont="1" applyFill="1" applyBorder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 applyProtection="1">
      <alignment horizontal="left" vertical="top" wrapText="1"/>
      <protection hidden="1"/>
    </xf>
    <xf numFmtId="0" fontId="11" fillId="34" borderId="13" xfId="0" applyFont="1" applyFill="1" applyBorder="1" applyAlignment="1" applyProtection="1">
      <alignment horizontal="left" vertical="top" wrapText="1"/>
      <protection hidden="1"/>
    </xf>
    <xf numFmtId="0" fontId="11" fillId="34" borderId="16" xfId="0" applyFont="1" applyFill="1" applyBorder="1" applyAlignment="1" applyProtection="1">
      <alignment horizontal="left" vertical="top" wrapText="1"/>
      <protection hidden="1"/>
    </xf>
    <xf numFmtId="0" fontId="11" fillId="34" borderId="19" xfId="0" applyFont="1" applyFill="1" applyBorder="1" applyAlignment="1" applyProtection="1">
      <alignment horizontal="left" vertical="top" wrapText="1"/>
      <protection hidden="1"/>
    </xf>
    <xf numFmtId="0" fontId="11" fillId="34" borderId="17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indent="1"/>
      <protection hidden="1"/>
    </xf>
    <xf numFmtId="0" fontId="49" fillId="0" borderId="19" xfId="0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20" xfId="0" applyFont="1" applyBorder="1" applyAlignment="1" applyProtection="1">
      <alignment horizontal="center" vertical="center" wrapText="1"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64" fillId="0" borderId="0" xfId="42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 inden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18" fillId="0" borderId="19" xfId="0" applyFont="1" applyBorder="1" applyAlignment="1" applyProtection="1">
      <alignment horizontal="left" vertical="top" wrapText="1" inden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center" vertical="top" wrapText="1"/>
      <protection hidden="1"/>
    </xf>
    <xf numFmtId="0" fontId="47" fillId="0" borderId="23" xfId="0" applyFont="1" applyFill="1" applyBorder="1" applyAlignment="1" applyProtection="1">
      <alignment horizontal="left" vertical="top" inden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24" fillId="0" borderId="20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3" fontId="6" fillId="0" borderId="25" xfId="0" applyNumberFormat="1" applyFont="1" applyBorder="1" applyAlignment="1" applyProtection="1">
      <alignment horizontal="left" vertical="top" wrapText="1"/>
      <protection locked="0"/>
    </xf>
    <xf numFmtId="3" fontId="6" fillId="0" borderId="21" xfId="0" applyNumberFormat="1" applyFont="1" applyBorder="1" applyAlignment="1" applyProtection="1">
      <alignment horizontal="left" vertical="top" wrapText="1"/>
      <protection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3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3" fontId="6" fillId="0" borderId="19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73" fillId="0" borderId="25" xfId="0" applyFont="1" applyBorder="1" applyAlignment="1" applyProtection="1">
      <alignment horizontal="left" vertical="top" wrapText="1"/>
      <protection hidden="1"/>
    </xf>
    <xf numFmtId="0" fontId="74" fillId="0" borderId="14" xfId="0" applyFont="1" applyBorder="1" applyAlignment="1" applyProtection="1">
      <alignment horizontal="left" vertical="top" wrapText="1"/>
      <protection hidden="1"/>
    </xf>
    <xf numFmtId="0" fontId="74" fillId="0" borderId="15" xfId="0" applyFont="1" applyBorder="1" applyAlignment="1" applyProtection="1">
      <alignment horizontal="left" vertical="top" wrapText="1"/>
      <protection hidden="1"/>
    </xf>
    <xf numFmtId="0" fontId="74" fillId="0" borderId="13" xfId="0" applyFont="1" applyBorder="1" applyAlignment="1" applyProtection="1">
      <alignment horizontal="left" vertical="top" wrapText="1"/>
      <protection hidden="1"/>
    </xf>
    <xf numFmtId="0" fontId="74" fillId="0" borderId="16" xfId="0" applyFont="1" applyBorder="1" applyAlignment="1" applyProtection="1">
      <alignment horizontal="left" vertical="top" wrapText="1"/>
      <protection hidden="1"/>
    </xf>
    <xf numFmtId="0" fontId="74" fillId="0" borderId="17" xfId="0" applyFont="1" applyBorder="1" applyAlignment="1" applyProtection="1">
      <alignment horizontal="left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20" xfId="0" applyFont="1" applyBorder="1" applyAlignment="1" applyProtection="1">
      <alignment horizontal="center" vertical="top" wrapText="1"/>
      <protection hidden="1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6" fillId="0" borderId="25" xfId="0" applyFont="1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27" fillId="0" borderId="25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16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3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 wrapText="1" indent="3"/>
      <protection hidden="1"/>
    </xf>
    <xf numFmtId="0" fontId="7" fillId="0" borderId="23" xfId="0" applyFont="1" applyBorder="1" applyAlignment="1" applyProtection="1">
      <alignment horizontal="left" vertical="top" wrapText="1" indent="3"/>
      <protection hidden="1"/>
    </xf>
    <xf numFmtId="0" fontId="7" fillId="0" borderId="22" xfId="0" applyFont="1" applyBorder="1" applyAlignment="1" applyProtection="1">
      <alignment horizontal="left" vertical="top" wrapText="1" indent="3"/>
      <protection hidden="1"/>
    </xf>
    <xf numFmtId="0" fontId="72" fillId="0" borderId="11" xfId="0" applyFont="1" applyBorder="1" applyAlignment="1" applyProtection="1">
      <alignment horizontal="center" vertical="center" wrapText="1"/>
      <protection hidden="1"/>
    </xf>
    <xf numFmtId="0" fontId="72" fillId="0" borderId="12" xfId="0" applyFont="1" applyBorder="1" applyAlignment="1" applyProtection="1">
      <alignment horizontal="center" vertical="center" wrapText="1"/>
      <protection hidden="1"/>
    </xf>
    <xf numFmtId="0" fontId="72" fillId="0" borderId="2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 locked="0"/>
    </xf>
    <xf numFmtId="0" fontId="27" fillId="0" borderId="20" xfId="0" applyFont="1" applyFill="1" applyBorder="1" applyAlignment="1" applyProtection="1">
      <alignment horizontal="center" vertical="center" wrapText="1"/>
      <protection hidden="1" locked="0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24" fillId="0" borderId="16" xfId="0" applyFont="1" applyBorder="1" applyAlignment="1" applyProtection="1">
      <alignment horizontal="center" vertical="center"/>
      <protection hidden="1" locked="0"/>
    </xf>
    <xf numFmtId="0" fontId="24" fillId="0" borderId="17" xfId="0" applyFont="1" applyBorder="1" applyAlignment="1" applyProtection="1">
      <alignment horizontal="center" vertical="center"/>
      <protection hidden="1" locked="0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45" fillId="0" borderId="21" xfId="0" applyFont="1" applyBorder="1" applyAlignment="1" applyProtection="1">
      <alignment horizontal="center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27" fillId="0" borderId="21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17" fillId="32" borderId="23" xfId="42" applyFill="1" applyBorder="1" applyAlignment="1" applyProtection="1">
      <alignment horizontal="left" vertical="top"/>
      <protection hidden="1"/>
    </xf>
    <xf numFmtId="0" fontId="17" fillId="32" borderId="19" xfId="42" applyFill="1" applyBorder="1" applyAlignment="1" applyProtection="1">
      <alignment horizontal="left" vertical="top"/>
      <protection hidden="1"/>
    </xf>
    <xf numFmtId="0" fontId="70" fillId="0" borderId="0" xfId="0" applyFont="1" applyAlignment="1" applyProtection="1">
      <alignment horizontal="left" vertical="top" wrapText="1"/>
      <protection hidden="1"/>
    </xf>
    <xf numFmtId="0" fontId="17" fillId="32" borderId="23" xfId="42" applyFill="1" applyBorder="1" applyAlignment="1" applyProtection="1">
      <alignment horizontal="center"/>
      <protection hidden="1"/>
    </xf>
    <xf numFmtId="0" fontId="64" fillId="32" borderId="32" xfId="42" applyFont="1" applyFill="1" applyBorder="1" applyAlignment="1" applyProtection="1">
      <alignment horizontal="center" vertical="top" wrapText="1"/>
      <protection hidden="1"/>
    </xf>
    <xf numFmtId="0" fontId="64" fillId="32" borderId="34" xfId="42" applyFont="1" applyFill="1" applyBorder="1" applyAlignment="1" applyProtection="1">
      <alignment horizontal="center" vertical="top" wrapText="1"/>
      <protection hidden="1"/>
    </xf>
    <xf numFmtId="0" fontId="64" fillId="32" borderId="33" xfId="42" applyFont="1" applyFill="1" applyBorder="1" applyAlignment="1" applyProtection="1">
      <alignment horizontal="center" vertical="top" wrapText="1"/>
      <protection hidden="1"/>
    </xf>
    <xf numFmtId="0" fontId="69" fillId="0" borderId="0" xfId="0" applyFont="1" applyAlignment="1" applyProtection="1">
      <alignment horizontal="left" vertical="top" wrapText="1"/>
      <protection hidden="1"/>
    </xf>
    <xf numFmtId="0" fontId="10" fillId="33" borderId="23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 locked="0"/>
    </xf>
    <xf numFmtId="0" fontId="24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1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0" fontId="6" fillId="0" borderId="25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49" fontId="9" fillId="0" borderId="18" xfId="0" applyNumberFormat="1" applyFont="1" applyBorder="1" applyAlignment="1" applyProtection="1">
      <alignment horizontal="center" vertical="top" wrapText="1"/>
      <protection hidden="1"/>
    </xf>
    <xf numFmtId="49" fontId="9" fillId="0" borderId="22" xfId="0" applyNumberFormat="1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2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3" fontId="6" fillId="0" borderId="25" xfId="0" applyNumberFormat="1" applyFont="1" applyBorder="1" applyAlignment="1" applyProtection="1">
      <alignment horizontal="left" vertical="top" wrapText="1"/>
      <protection/>
    </xf>
    <xf numFmtId="3" fontId="6" fillId="0" borderId="21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3" xfId="0" applyNumberFormat="1" applyFont="1" applyBorder="1" applyAlignment="1" applyProtection="1">
      <alignment horizontal="left" vertical="top" wrapText="1"/>
      <protection/>
    </xf>
    <xf numFmtId="3" fontId="6" fillId="0" borderId="16" xfId="0" applyNumberFormat="1" applyFont="1" applyBorder="1" applyAlignment="1" applyProtection="1">
      <alignment horizontal="left" vertical="top" wrapText="1"/>
      <protection/>
    </xf>
    <xf numFmtId="3" fontId="6" fillId="0" borderId="19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11" fillId="0" borderId="19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94" fillId="0" borderId="0" xfId="0" applyFont="1" applyAlignment="1" applyProtection="1">
      <alignment horizontal="justify" vertical="top" wrapText="1"/>
      <protection hidden="1"/>
    </xf>
    <xf numFmtId="0" fontId="47" fillId="0" borderId="19" xfId="0" applyFont="1" applyFill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right" indent="1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19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wrapText="1" inden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4" fillId="0" borderId="25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63" fillId="4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8" fillId="0" borderId="23" xfId="0" applyFont="1" applyBorder="1" applyAlignment="1" applyProtection="1">
      <alignment horizontal="right" vertical="top" indent="1"/>
      <protection hidden="1"/>
    </xf>
    <xf numFmtId="0" fontId="18" fillId="0" borderId="23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18" fillId="0" borderId="23" xfId="0" applyFont="1" applyBorder="1" applyAlignment="1" applyProtection="1">
      <alignment horizontal="left" vertical="top" indent="1"/>
      <protection hidden="1"/>
    </xf>
    <xf numFmtId="179" fontId="47" fillId="0" borderId="19" xfId="0" applyNumberFormat="1" applyFont="1" applyFill="1" applyBorder="1" applyAlignment="1" applyProtection="1">
      <alignment horizontal="left" vertical="top" indent="1"/>
      <protection hidden="1"/>
    </xf>
    <xf numFmtId="0" fontId="7" fillId="0" borderId="0" xfId="0" applyFont="1" applyAlignment="1" applyProtection="1">
      <alignment horizontal="left" vertical="top" indent="1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47" fillId="0" borderId="0" xfId="0" applyFont="1" applyAlignment="1" applyProtection="1">
      <alignment horizontal="left"/>
      <protection hidden="1"/>
    </xf>
    <xf numFmtId="17" fontId="24" fillId="0" borderId="0" xfId="0" applyNumberFormat="1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20" xfId="0" applyNumberFormat="1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9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wrapText="1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17" xfId="0" applyFont="1" applyBorder="1" applyAlignment="1" applyProtection="1">
      <alignment horizontal="center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80" fillId="0" borderId="18" xfId="0" applyFont="1" applyBorder="1" applyAlignment="1" applyProtection="1">
      <alignment horizontal="left" vertical="top" wrapText="1" indent="1"/>
      <protection hidden="1"/>
    </xf>
    <xf numFmtId="0" fontId="7" fillId="0" borderId="22" xfId="0" applyFont="1" applyBorder="1" applyAlignment="1" applyProtection="1">
      <alignment horizontal="left" vertical="top" wrapText="1" inden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top"/>
      <protection hidden="1"/>
    </xf>
    <xf numFmtId="0" fontId="7" fillId="34" borderId="12" xfId="0" applyFont="1" applyFill="1" applyBorder="1" applyAlignment="1" applyProtection="1">
      <alignment horizontal="center" vertical="top"/>
      <protection hidden="1"/>
    </xf>
    <xf numFmtId="0" fontId="7" fillId="34" borderId="20" xfId="0" applyFont="1" applyFill="1" applyBorder="1" applyAlignment="1" applyProtection="1">
      <alignment horizontal="center" vertical="top"/>
      <protection hidden="1"/>
    </xf>
    <xf numFmtId="0" fontId="11" fillId="34" borderId="25" xfId="0" applyFont="1" applyFill="1" applyBorder="1" applyAlignment="1" applyProtection="1">
      <alignment horizontal="center" vertical="top" wrapText="1"/>
      <protection hidden="1"/>
    </xf>
    <xf numFmtId="0" fontId="11" fillId="34" borderId="21" xfId="0" applyFont="1" applyFill="1" applyBorder="1" applyAlignment="1" applyProtection="1">
      <alignment horizontal="center" vertical="top" wrapText="1"/>
      <protection hidden="1"/>
    </xf>
    <xf numFmtId="0" fontId="11" fillId="34" borderId="14" xfId="0" applyFont="1" applyFill="1" applyBorder="1" applyAlignment="1" applyProtection="1">
      <alignment horizontal="center" vertical="top" wrapText="1"/>
      <protection hidden="1"/>
    </xf>
    <xf numFmtId="0" fontId="11" fillId="34" borderId="15" xfId="0" applyFont="1" applyFill="1" applyBorder="1" applyAlignment="1" applyProtection="1">
      <alignment horizontal="center" vertical="top" wrapText="1"/>
      <protection hidden="1"/>
    </xf>
    <xf numFmtId="0" fontId="11" fillId="34" borderId="0" xfId="0" applyFont="1" applyFill="1" applyBorder="1" applyAlignment="1" applyProtection="1">
      <alignment horizontal="center" vertical="top" wrapText="1"/>
      <protection hidden="1"/>
    </xf>
    <xf numFmtId="0" fontId="11" fillId="34" borderId="13" xfId="0" applyFont="1" applyFill="1" applyBorder="1" applyAlignment="1" applyProtection="1">
      <alignment horizontal="center" vertical="top" wrapText="1"/>
      <protection hidden="1"/>
    </xf>
    <xf numFmtId="0" fontId="11" fillId="34" borderId="16" xfId="0" applyFont="1" applyFill="1" applyBorder="1" applyAlignment="1" applyProtection="1">
      <alignment horizontal="center" vertical="top" wrapText="1"/>
      <protection hidden="1"/>
    </xf>
    <xf numFmtId="0" fontId="11" fillId="34" borderId="19" xfId="0" applyFont="1" applyFill="1" applyBorder="1" applyAlignment="1" applyProtection="1">
      <alignment horizontal="center" vertical="top" wrapText="1"/>
      <protection hidden="1"/>
    </xf>
    <xf numFmtId="0" fontId="11" fillId="34" borderId="17" xfId="0" applyFont="1" applyFill="1" applyBorder="1" applyAlignment="1" applyProtection="1">
      <alignment horizontal="center" vertical="top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24" fillId="34" borderId="25" xfId="0" applyFont="1" applyFill="1" applyBorder="1" applyAlignment="1" applyProtection="1">
      <alignment horizontal="center" vertical="center" wrapText="1"/>
      <protection hidden="1"/>
    </xf>
    <xf numFmtId="0" fontId="24" fillId="34" borderId="14" xfId="0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 applyProtection="1">
      <alignment horizontal="center" vertical="center" wrapText="1"/>
      <protection hidden="1"/>
    </xf>
    <xf numFmtId="0" fontId="24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top" wrapText="1"/>
      <protection hidden="1"/>
    </xf>
    <xf numFmtId="0" fontId="9" fillId="34" borderId="22" xfId="0" applyFont="1" applyFill="1" applyBorder="1" applyAlignment="1" applyProtection="1">
      <alignment horizontal="center" vertical="top" wrapText="1"/>
      <protection hidden="1"/>
    </xf>
    <xf numFmtId="0" fontId="6" fillId="34" borderId="25" xfId="0" applyFont="1" applyFill="1" applyBorder="1" applyAlignment="1" applyProtection="1">
      <alignment horizontal="left" vertical="top" wrapText="1"/>
      <protection hidden="1"/>
    </xf>
    <xf numFmtId="0" fontId="6" fillId="34" borderId="14" xfId="0" applyFont="1" applyFill="1" applyBorder="1" applyAlignment="1" applyProtection="1">
      <alignment horizontal="left" vertical="top" wrapText="1"/>
      <protection hidden="1"/>
    </xf>
    <xf numFmtId="0" fontId="6" fillId="34" borderId="15" xfId="0" applyFont="1" applyFill="1" applyBorder="1" applyAlignment="1" applyProtection="1">
      <alignment horizontal="left" vertical="top" wrapText="1"/>
      <protection hidden="1"/>
    </xf>
    <xf numFmtId="0" fontId="6" fillId="34" borderId="13" xfId="0" applyFont="1" applyFill="1" applyBorder="1" applyAlignment="1" applyProtection="1">
      <alignment horizontal="left" vertical="top" wrapText="1"/>
      <protection hidden="1"/>
    </xf>
    <xf numFmtId="0" fontId="4" fillId="34" borderId="25" xfId="0" applyFont="1" applyFill="1" applyBorder="1" applyAlignment="1" applyProtection="1">
      <alignment horizontal="center" wrapText="1"/>
      <protection hidden="1"/>
    </xf>
    <xf numFmtId="0" fontId="4" fillId="34" borderId="2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94" fillId="0" borderId="0" xfId="0" applyFont="1" applyBorder="1" applyAlignment="1" applyProtection="1">
      <alignment horizontal="justify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24" fillId="34" borderId="21" xfId="0" applyFont="1" applyFill="1" applyBorder="1" applyAlignment="1" applyProtection="1">
      <alignment horizontal="center" vertical="center" wrapText="1"/>
      <protection hidden="1" locked="0"/>
    </xf>
    <xf numFmtId="0" fontId="24" fillId="34" borderId="14" xfId="0" applyFont="1" applyFill="1" applyBorder="1" applyAlignment="1" applyProtection="1">
      <alignment horizontal="center" vertical="center" wrapText="1"/>
      <protection hidden="1" locked="0"/>
    </xf>
    <xf numFmtId="0" fontId="24" fillId="34" borderId="19" xfId="0" applyFont="1" applyFill="1" applyBorder="1" applyAlignment="1" applyProtection="1">
      <alignment horizontal="center" vertical="center" wrapText="1"/>
      <protection hidden="1" locked="0"/>
    </xf>
    <xf numFmtId="0" fontId="24" fillId="34" borderId="17" xfId="0" applyFont="1" applyFill="1" applyBorder="1" applyAlignment="1" applyProtection="1">
      <alignment horizontal="center" vertical="center" wrapText="1"/>
      <protection hidden="1"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 quotePrefix="1">
      <alignment horizontal="center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9" xfId="0" applyFont="1" applyBorder="1" applyAlignment="1" applyProtection="1">
      <alignment horizontal="left" vertical="center" wrapText="1" inden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 locked="0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24" fillId="0" borderId="19" xfId="0" applyFont="1" applyBorder="1" applyAlignment="1" applyProtection="1">
      <alignment horizontal="center" vertical="center" wrapText="1"/>
      <protection hidden="1" locked="0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0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11" fillId="0" borderId="16" xfId="0" applyFont="1" applyBorder="1" applyAlignment="1" applyProtection="1">
      <alignment vertical="top" wrapText="1"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0" fontId="11" fillId="0" borderId="17" xfId="0" applyFont="1" applyBorder="1" applyAlignment="1" applyProtection="1">
      <alignment vertical="top" wrapText="1"/>
      <protection hidden="1"/>
    </xf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5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4" fillId="0" borderId="15" xfId="0" applyFont="1" applyBorder="1" applyAlignment="1" applyProtection="1" quotePrefix="1">
      <alignment horizontal="left" vertical="top" wrapText="1"/>
      <protection hidden="1"/>
    </xf>
    <xf numFmtId="0" fontId="74" fillId="0" borderId="13" xfId="0" applyFont="1" applyBorder="1" applyAlignment="1" applyProtection="1" quotePrefix="1">
      <alignment horizontal="left" vertical="top" wrapText="1"/>
      <protection hidden="1"/>
    </xf>
    <xf numFmtId="0" fontId="74" fillId="0" borderId="16" xfId="0" applyFont="1" applyBorder="1" applyAlignment="1" applyProtection="1" quotePrefix="1">
      <alignment horizontal="left" vertical="top" wrapText="1"/>
      <protection hidden="1"/>
    </xf>
    <xf numFmtId="0" fontId="74" fillId="0" borderId="17" xfId="0" applyFont="1" applyBorder="1" applyAlignment="1" applyProtection="1" quotePrefix="1">
      <alignment horizontal="left" vertical="top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2">
    <dxf>
      <font>
        <b/>
        <i val="0"/>
      </font>
      <border>
        <bottom style="thin"/>
      </border>
    </dxf>
    <dxf>
      <font>
        <b/>
        <i val="0"/>
        <color indexed="10"/>
      </font>
    </dxf>
    <dxf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border>
        <bottom style="thin"/>
      </border>
    </dxf>
    <dxf>
      <font>
        <name val="Cambria"/>
        <color rgb="FFC00000"/>
      </font>
      <fill>
        <patternFill>
          <bgColor theme="9" tint="0.3999499976634979"/>
        </patternFill>
      </fill>
    </dxf>
    <dxf>
      <font>
        <strike/>
        <color indexed="60"/>
      </font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60"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993300"/>
      </font>
      <border/>
    </dxf>
    <dxf>
      <font>
        <color rgb="FFFF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strike/>
        <color rgb="FF993300"/>
      </font>
      <border/>
    </dxf>
    <dxf>
      <font>
        <color rgb="FFC00000"/>
      </font>
      <fill>
        <patternFill>
          <bgColor theme="9" tint="0.3999499976634979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41</xdr:row>
      <xdr:rowOff>180975</xdr:rowOff>
    </xdr:from>
    <xdr:to>
      <xdr:col>9</xdr:col>
      <xdr:colOff>847725</xdr:colOff>
      <xdr:row>41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00150" y="1638300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6</xdr:col>
      <xdr:colOff>0</xdr:colOff>
      <xdr:row>421</xdr:row>
      <xdr:rowOff>0</xdr:rowOff>
    </xdr:to>
    <xdr:sp>
      <xdr:nvSpPr>
        <xdr:cNvPr id="2" name="Line 116"/>
        <xdr:cNvSpPr>
          <a:spLocks/>
        </xdr:cNvSpPr>
      </xdr:nvSpPr>
      <xdr:spPr>
        <a:xfrm>
          <a:off x="2124075" y="72151875"/>
          <a:ext cx="231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421</xdr:row>
      <xdr:rowOff>0</xdr:rowOff>
    </xdr:from>
    <xdr:to>
      <xdr:col>8</xdr:col>
      <xdr:colOff>38100</xdr:colOff>
      <xdr:row>421</xdr:row>
      <xdr:rowOff>0</xdr:rowOff>
    </xdr:to>
    <xdr:sp>
      <xdr:nvSpPr>
        <xdr:cNvPr id="3" name="Line 117"/>
        <xdr:cNvSpPr>
          <a:spLocks/>
        </xdr:cNvSpPr>
      </xdr:nvSpPr>
      <xdr:spPr>
        <a:xfrm>
          <a:off x="4438650" y="72151875"/>
          <a:ext cx="1619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422</xdr:row>
      <xdr:rowOff>0</xdr:rowOff>
    </xdr:from>
    <xdr:to>
      <xdr:col>4</xdr:col>
      <xdr:colOff>676275</xdr:colOff>
      <xdr:row>422</xdr:row>
      <xdr:rowOff>0</xdr:rowOff>
    </xdr:to>
    <xdr:sp>
      <xdr:nvSpPr>
        <xdr:cNvPr id="4" name="Line 118"/>
        <xdr:cNvSpPr>
          <a:spLocks/>
        </xdr:cNvSpPr>
      </xdr:nvSpPr>
      <xdr:spPr>
        <a:xfrm>
          <a:off x="2533650" y="72342375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448</xdr:row>
      <xdr:rowOff>0</xdr:rowOff>
    </xdr:from>
    <xdr:to>
      <xdr:col>9</xdr:col>
      <xdr:colOff>847725</xdr:colOff>
      <xdr:row>448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29996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447</xdr:row>
      <xdr:rowOff>0</xdr:rowOff>
    </xdr:from>
    <xdr:to>
      <xdr:col>9</xdr:col>
      <xdr:colOff>847725</xdr:colOff>
      <xdr:row>447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28091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448</xdr:row>
      <xdr:rowOff>180975</xdr:rowOff>
    </xdr:from>
    <xdr:to>
      <xdr:col>10</xdr:col>
      <xdr:colOff>0</xdr:colOff>
      <xdr:row>448</xdr:row>
      <xdr:rowOff>180975</xdr:rowOff>
    </xdr:to>
    <xdr:sp>
      <xdr:nvSpPr>
        <xdr:cNvPr id="7" name="Line 123"/>
        <xdr:cNvSpPr>
          <a:spLocks/>
        </xdr:cNvSpPr>
      </xdr:nvSpPr>
      <xdr:spPr>
        <a:xfrm>
          <a:off x="66675" y="7318057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439</xdr:row>
      <xdr:rowOff>171450</xdr:rowOff>
    </xdr:from>
    <xdr:to>
      <xdr:col>4</xdr:col>
      <xdr:colOff>581025</xdr:colOff>
      <xdr:row>439</xdr:row>
      <xdr:rowOff>171450</xdr:rowOff>
    </xdr:to>
    <xdr:sp>
      <xdr:nvSpPr>
        <xdr:cNvPr id="8" name="Line 124"/>
        <xdr:cNvSpPr>
          <a:spLocks/>
        </xdr:cNvSpPr>
      </xdr:nvSpPr>
      <xdr:spPr>
        <a:xfrm>
          <a:off x="2247900" y="72418575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439</xdr:row>
      <xdr:rowOff>171450</xdr:rowOff>
    </xdr:from>
    <xdr:to>
      <xdr:col>9</xdr:col>
      <xdr:colOff>847725</xdr:colOff>
      <xdr:row>439</xdr:row>
      <xdr:rowOff>171450</xdr:rowOff>
    </xdr:to>
    <xdr:sp>
      <xdr:nvSpPr>
        <xdr:cNvPr id="9" name="Line 125"/>
        <xdr:cNvSpPr>
          <a:spLocks/>
        </xdr:cNvSpPr>
      </xdr:nvSpPr>
      <xdr:spPr>
        <a:xfrm>
          <a:off x="3648075" y="72418575"/>
          <a:ext cx="401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425</xdr:row>
      <xdr:rowOff>0</xdr:rowOff>
    </xdr:from>
    <xdr:to>
      <xdr:col>4</xdr:col>
      <xdr:colOff>466725</xdr:colOff>
      <xdr:row>425</xdr:row>
      <xdr:rowOff>0</xdr:rowOff>
    </xdr:to>
    <xdr:sp>
      <xdr:nvSpPr>
        <xdr:cNvPr id="10" name="Line 545"/>
        <xdr:cNvSpPr>
          <a:spLocks/>
        </xdr:cNvSpPr>
      </xdr:nvSpPr>
      <xdr:spPr>
        <a:xfrm>
          <a:off x="1828800" y="7241857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425</xdr:row>
      <xdr:rowOff>0</xdr:rowOff>
    </xdr:from>
    <xdr:to>
      <xdr:col>9</xdr:col>
      <xdr:colOff>847725</xdr:colOff>
      <xdr:row>425</xdr:row>
      <xdr:rowOff>0</xdr:rowOff>
    </xdr:to>
    <xdr:sp>
      <xdr:nvSpPr>
        <xdr:cNvPr id="11" name="Line 125"/>
        <xdr:cNvSpPr>
          <a:spLocks/>
        </xdr:cNvSpPr>
      </xdr:nvSpPr>
      <xdr:spPr>
        <a:xfrm>
          <a:off x="3562350" y="72418575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426</xdr:row>
      <xdr:rowOff>180975</xdr:rowOff>
    </xdr:from>
    <xdr:to>
      <xdr:col>4</xdr:col>
      <xdr:colOff>466725</xdr:colOff>
      <xdr:row>426</xdr:row>
      <xdr:rowOff>180975</xdr:rowOff>
    </xdr:to>
    <xdr:sp>
      <xdr:nvSpPr>
        <xdr:cNvPr id="12" name="Line 547"/>
        <xdr:cNvSpPr>
          <a:spLocks/>
        </xdr:cNvSpPr>
      </xdr:nvSpPr>
      <xdr:spPr>
        <a:xfrm>
          <a:off x="1828800" y="7241857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426</xdr:row>
      <xdr:rowOff>180975</xdr:rowOff>
    </xdr:from>
    <xdr:to>
      <xdr:col>9</xdr:col>
      <xdr:colOff>847725</xdr:colOff>
      <xdr:row>426</xdr:row>
      <xdr:rowOff>180975</xdr:rowOff>
    </xdr:to>
    <xdr:sp>
      <xdr:nvSpPr>
        <xdr:cNvPr id="13" name="Line 125"/>
        <xdr:cNvSpPr>
          <a:spLocks/>
        </xdr:cNvSpPr>
      </xdr:nvSpPr>
      <xdr:spPr>
        <a:xfrm>
          <a:off x="3562350" y="72418575"/>
          <a:ext cx="409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428</xdr:row>
      <xdr:rowOff>180975</xdr:rowOff>
    </xdr:from>
    <xdr:to>
      <xdr:col>4</xdr:col>
      <xdr:colOff>466725</xdr:colOff>
      <xdr:row>428</xdr:row>
      <xdr:rowOff>180975</xdr:rowOff>
    </xdr:to>
    <xdr:sp>
      <xdr:nvSpPr>
        <xdr:cNvPr id="14" name="Line 549"/>
        <xdr:cNvSpPr>
          <a:spLocks/>
        </xdr:cNvSpPr>
      </xdr:nvSpPr>
      <xdr:spPr>
        <a:xfrm>
          <a:off x="1828800" y="7241857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428</xdr:row>
      <xdr:rowOff>180975</xdr:rowOff>
    </xdr:from>
    <xdr:to>
      <xdr:col>9</xdr:col>
      <xdr:colOff>847725</xdr:colOff>
      <xdr:row>428</xdr:row>
      <xdr:rowOff>180975</xdr:rowOff>
    </xdr:to>
    <xdr:sp>
      <xdr:nvSpPr>
        <xdr:cNvPr id="15" name="Line 125"/>
        <xdr:cNvSpPr>
          <a:spLocks/>
        </xdr:cNvSpPr>
      </xdr:nvSpPr>
      <xdr:spPr>
        <a:xfrm>
          <a:off x="3571875" y="72418575"/>
          <a:ext cx="408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430</xdr:row>
      <xdr:rowOff>180975</xdr:rowOff>
    </xdr:from>
    <xdr:to>
      <xdr:col>4</xdr:col>
      <xdr:colOff>466725</xdr:colOff>
      <xdr:row>430</xdr:row>
      <xdr:rowOff>180975</xdr:rowOff>
    </xdr:to>
    <xdr:sp>
      <xdr:nvSpPr>
        <xdr:cNvPr id="16" name="Line 551"/>
        <xdr:cNvSpPr>
          <a:spLocks/>
        </xdr:cNvSpPr>
      </xdr:nvSpPr>
      <xdr:spPr>
        <a:xfrm>
          <a:off x="1828800" y="7241857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430</xdr:row>
      <xdr:rowOff>180975</xdr:rowOff>
    </xdr:from>
    <xdr:to>
      <xdr:col>9</xdr:col>
      <xdr:colOff>847725</xdr:colOff>
      <xdr:row>430</xdr:row>
      <xdr:rowOff>180975</xdr:rowOff>
    </xdr:to>
    <xdr:sp>
      <xdr:nvSpPr>
        <xdr:cNvPr id="17" name="Line 125"/>
        <xdr:cNvSpPr>
          <a:spLocks/>
        </xdr:cNvSpPr>
      </xdr:nvSpPr>
      <xdr:spPr>
        <a:xfrm>
          <a:off x="3581400" y="72418575"/>
          <a:ext cx="407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449</xdr:row>
      <xdr:rowOff>200025</xdr:rowOff>
    </xdr:from>
    <xdr:to>
      <xdr:col>9</xdr:col>
      <xdr:colOff>847725</xdr:colOff>
      <xdr:row>449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339012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438</xdr:row>
      <xdr:rowOff>28575</xdr:rowOff>
    </xdr:from>
    <xdr:to>
      <xdr:col>10</xdr:col>
      <xdr:colOff>0</xdr:colOff>
      <xdr:row>438</xdr:row>
      <xdr:rowOff>28575</xdr:rowOff>
    </xdr:to>
    <xdr:sp>
      <xdr:nvSpPr>
        <xdr:cNvPr id="19" name="Line 123"/>
        <xdr:cNvSpPr>
          <a:spLocks/>
        </xdr:cNvSpPr>
      </xdr:nvSpPr>
      <xdr:spPr>
        <a:xfrm>
          <a:off x="76200" y="72418575"/>
          <a:ext cx="7581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190500</xdr:rowOff>
    </xdr:from>
    <xdr:to>
      <xdr:col>9</xdr:col>
      <xdr:colOff>771525</xdr:colOff>
      <xdr:row>42</xdr:row>
      <xdr:rowOff>190500</xdr:rowOff>
    </xdr:to>
    <xdr:sp>
      <xdr:nvSpPr>
        <xdr:cNvPr id="20" name="Line 54"/>
        <xdr:cNvSpPr>
          <a:spLocks/>
        </xdr:cNvSpPr>
      </xdr:nvSpPr>
      <xdr:spPr>
        <a:xfrm>
          <a:off x="1181100" y="1838325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21" name="Line 120"/>
        <xdr:cNvSpPr>
          <a:spLocks/>
        </xdr:cNvSpPr>
      </xdr:nvSpPr>
      <xdr:spPr>
        <a:xfrm flipV="1">
          <a:off x="1095375" y="7477125"/>
          <a:ext cx="6562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2" name="Line 123"/>
        <xdr:cNvSpPr>
          <a:spLocks/>
        </xdr:cNvSpPr>
      </xdr:nvSpPr>
      <xdr:spPr>
        <a:xfrm flipV="1">
          <a:off x="1095375" y="7639050"/>
          <a:ext cx="6562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180975</xdr:rowOff>
    </xdr:from>
    <xdr:to>
      <xdr:col>4</xdr:col>
      <xdr:colOff>581025</xdr:colOff>
      <xdr:row>97</xdr:row>
      <xdr:rowOff>180975</xdr:rowOff>
    </xdr:to>
    <xdr:sp>
      <xdr:nvSpPr>
        <xdr:cNvPr id="23" name="Line 124"/>
        <xdr:cNvSpPr>
          <a:spLocks/>
        </xdr:cNvSpPr>
      </xdr:nvSpPr>
      <xdr:spPr>
        <a:xfrm>
          <a:off x="2247900" y="10058400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9</xdr:col>
      <xdr:colOff>762000</xdr:colOff>
      <xdr:row>97</xdr:row>
      <xdr:rowOff>180975</xdr:rowOff>
    </xdr:to>
    <xdr:sp>
      <xdr:nvSpPr>
        <xdr:cNvPr id="24" name="Line 125"/>
        <xdr:cNvSpPr>
          <a:spLocks/>
        </xdr:cNvSpPr>
      </xdr:nvSpPr>
      <xdr:spPr>
        <a:xfrm>
          <a:off x="3648075" y="10058400"/>
          <a:ext cx="392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25" name="Line 545"/>
        <xdr:cNvSpPr>
          <a:spLocks/>
        </xdr:cNvSpPr>
      </xdr:nvSpPr>
      <xdr:spPr>
        <a:xfrm>
          <a:off x="1828800" y="806767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85</xdr:row>
      <xdr:rowOff>0</xdr:rowOff>
    </xdr:from>
    <xdr:to>
      <xdr:col>9</xdr:col>
      <xdr:colOff>771525</xdr:colOff>
      <xdr:row>85</xdr:row>
      <xdr:rowOff>0</xdr:rowOff>
    </xdr:to>
    <xdr:sp>
      <xdr:nvSpPr>
        <xdr:cNvPr id="26" name="Line 125"/>
        <xdr:cNvSpPr>
          <a:spLocks/>
        </xdr:cNvSpPr>
      </xdr:nvSpPr>
      <xdr:spPr>
        <a:xfrm>
          <a:off x="3686175" y="8067675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27" name="Line 547"/>
        <xdr:cNvSpPr>
          <a:spLocks/>
        </xdr:cNvSpPr>
      </xdr:nvSpPr>
      <xdr:spPr>
        <a:xfrm>
          <a:off x="1828800" y="8382000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86</xdr:row>
      <xdr:rowOff>190500</xdr:rowOff>
    </xdr:from>
    <xdr:to>
      <xdr:col>9</xdr:col>
      <xdr:colOff>771525</xdr:colOff>
      <xdr:row>86</xdr:row>
      <xdr:rowOff>190500</xdr:rowOff>
    </xdr:to>
    <xdr:sp>
      <xdr:nvSpPr>
        <xdr:cNvPr id="28" name="Line 125"/>
        <xdr:cNvSpPr>
          <a:spLocks/>
        </xdr:cNvSpPr>
      </xdr:nvSpPr>
      <xdr:spPr>
        <a:xfrm>
          <a:off x="3686175" y="838200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29" name="Line 549"/>
        <xdr:cNvSpPr>
          <a:spLocks/>
        </xdr:cNvSpPr>
      </xdr:nvSpPr>
      <xdr:spPr>
        <a:xfrm>
          <a:off x="1828800" y="8705850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88</xdr:row>
      <xdr:rowOff>190500</xdr:rowOff>
    </xdr:from>
    <xdr:to>
      <xdr:col>9</xdr:col>
      <xdr:colOff>771525</xdr:colOff>
      <xdr:row>88</xdr:row>
      <xdr:rowOff>190500</xdr:rowOff>
    </xdr:to>
    <xdr:sp>
      <xdr:nvSpPr>
        <xdr:cNvPr id="30" name="Line 125"/>
        <xdr:cNvSpPr>
          <a:spLocks/>
        </xdr:cNvSpPr>
      </xdr:nvSpPr>
      <xdr:spPr>
        <a:xfrm>
          <a:off x="3686175" y="870585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31" name="Line 120"/>
        <xdr:cNvSpPr>
          <a:spLocks/>
        </xdr:cNvSpPr>
      </xdr:nvSpPr>
      <xdr:spPr>
        <a:xfrm>
          <a:off x="66675" y="353377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32" name="Line 121"/>
        <xdr:cNvSpPr>
          <a:spLocks/>
        </xdr:cNvSpPr>
      </xdr:nvSpPr>
      <xdr:spPr>
        <a:xfrm>
          <a:off x="66675" y="337185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3" name="Line 123"/>
        <xdr:cNvSpPr>
          <a:spLocks/>
        </xdr:cNvSpPr>
      </xdr:nvSpPr>
      <xdr:spPr>
        <a:xfrm>
          <a:off x="66675" y="36957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4" name="Line 120"/>
        <xdr:cNvSpPr>
          <a:spLocks/>
        </xdr:cNvSpPr>
      </xdr:nvSpPr>
      <xdr:spPr>
        <a:xfrm>
          <a:off x="66675" y="385762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35" name="Line 120"/>
        <xdr:cNvSpPr>
          <a:spLocks/>
        </xdr:cNvSpPr>
      </xdr:nvSpPr>
      <xdr:spPr>
        <a:xfrm>
          <a:off x="66675" y="47625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36" name="Line 121"/>
        <xdr:cNvSpPr>
          <a:spLocks/>
        </xdr:cNvSpPr>
      </xdr:nvSpPr>
      <xdr:spPr>
        <a:xfrm>
          <a:off x="66675" y="460057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37" name="Line 123"/>
        <xdr:cNvSpPr>
          <a:spLocks/>
        </xdr:cNvSpPr>
      </xdr:nvSpPr>
      <xdr:spPr>
        <a:xfrm>
          <a:off x="66675" y="492442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41</xdr:row>
      <xdr:rowOff>180975</xdr:rowOff>
    </xdr:from>
    <xdr:to>
      <xdr:col>9</xdr:col>
      <xdr:colOff>847725</xdr:colOff>
      <xdr:row>41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00150" y="1495425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190500</xdr:rowOff>
    </xdr:from>
    <xdr:to>
      <xdr:col>9</xdr:col>
      <xdr:colOff>771525</xdr:colOff>
      <xdr:row>42</xdr:row>
      <xdr:rowOff>190500</xdr:rowOff>
    </xdr:to>
    <xdr:sp>
      <xdr:nvSpPr>
        <xdr:cNvPr id="2" name="Line 54"/>
        <xdr:cNvSpPr>
          <a:spLocks/>
        </xdr:cNvSpPr>
      </xdr:nvSpPr>
      <xdr:spPr>
        <a:xfrm>
          <a:off x="1181100" y="1695450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10</xdr:col>
      <xdr:colOff>0</xdr:colOff>
      <xdr:row>80</xdr:row>
      <xdr:rowOff>0</xdr:rowOff>
    </xdr:to>
    <xdr:sp>
      <xdr:nvSpPr>
        <xdr:cNvPr id="3" name="Line 120"/>
        <xdr:cNvSpPr>
          <a:spLocks/>
        </xdr:cNvSpPr>
      </xdr:nvSpPr>
      <xdr:spPr>
        <a:xfrm flipV="1">
          <a:off x="1095375" y="7334250"/>
          <a:ext cx="6562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4" name="Line 123"/>
        <xdr:cNvSpPr>
          <a:spLocks/>
        </xdr:cNvSpPr>
      </xdr:nvSpPr>
      <xdr:spPr>
        <a:xfrm flipV="1">
          <a:off x="1095375" y="7496175"/>
          <a:ext cx="6562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171450</xdr:rowOff>
    </xdr:from>
    <xdr:to>
      <xdr:col>4</xdr:col>
      <xdr:colOff>581025</xdr:colOff>
      <xdr:row>97</xdr:row>
      <xdr:rowOff>171450</xdr:rowOff>
    </xdr:to>
    <xdr:sp>
      <xdr:nvSpPr>
        <xdr:cNvPr id="5" name="Line 124"/>
        <xdr:cNvSpPr>
          <a:spLocks/>
        </xdr:cNvSpPr>
      </xdr:nvSpPr>
      <xdr:spPr>
        <a:xfrm>
          <a:off x="2247900" y="9906000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171450</xdr:rowOff>
    </xdr:from>
    <xdr:to>
      <xdr:col>9</xdr:col>
      <xdr:colOff>762000</xdr:colOff>
      <xdr:row>97</xdr:row>
      <xdr:rowOff>171450</xdr:rowOff>
    </xdr:to>
    <xdr:sp>
      <xdr:nvSpPr>
        <xdr:cNvPr id="6" name="Line 125"/>
        <xdr:cNvSpPr>
          <a:spLocks/>
        </xdr:cNvSpPr>
      </xdr:nvSpPr>
      <xdr:spPr>
        <a:xfrm>
          <a:off x="3648075" y="9906000"/>
          <a:ext cx="392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7" name="Line 545"/>
        <xdr:cNvSpPr>
          <a:spLocks/>
        </xdr:cNvSpPr>
      </xdr:nvSpPr>
      <xdr:spPr>
        <a:xfrm>
          <a:off x="1828800" y="7924800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85</xdr:row>
      <xdr:rowOff>0</xdr:rowOff>
    </xdr:from>
    <xdr:to>
      <xdr:col>9</xdr:col>
      <xdr:colOff>771525</xdr:colOff>
      <xdr:row>85</xdr:row>
      <xdr:rowOff>0</xdr:rowOff>
    </xdr:to>
    <xdr:sp>
      <xdr:nvSpPr>
        <xdr:cNvPr id="8" name="Line 125"/>
        <xdr:cNvSpPr>
          <a:spLocks/>
        </xdr:cNvSpPr>
      </xdr:nvSpPr>
      <xdr:spPr>
        <a:xfrm>
          <a:off x="3686175" y="792480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9" name="Line 547"/>
        <xdr:cNvSpPr>
          <a:spLocks/>
        </xdr:cNvSpPr>
      </xdr:nvSpPr>
      <xdr:spPr>
        <a:xfrm>
          <a:off x="1828800" y="8239125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86</xdr:row>
      <xdr:rowOff>190500</xdr:rowOff>
    </xdr:from>
    <xdr:to>
      <xdr:col>9</xdr:col>
      <xdr:colOff>771525</xdr:colOff>
      <xdr:row>86</xdr:row>
      <xdr:rowOff>190500</xdr:rowOff>
    </xdr:to>
    <xdr:sp>
      <xdr:nvSpPr>
        <xdr:cNvPr id="10" name="Line 125"/>
        <xdr:cNvSpPr>
          <a:spLocks/>
        </xdr:cNvSpPr>
      </xdr:nvSpPr>
      <xdr:spPr>
        <a:xfrm>
          <a:off x="3686175" y="8239125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88</xdr:row>
      <xdr:rowOff>180975</xdr:rowOff>
    </xdr:from>
    <xdr:to>
      <xdr:col>4</xdr:col>
      <xdr:colOff>466725</xdr:colOff>
      <xdr:row>88</xdr:row>
      <xdr:rowOff>180975</xdr:rowOff>
    </xdr:to>
    <xdr:sp>
      <xdr:nvSpPr>
        <xdr:cNvPr id="11" name="Line 549"/>
        <xdr:cNvSpPr>
          <a:spLocks/>
        </xdr:cNvSpPr>
      </xdr:nvSpPr>
      <xdr:spPr>
        <a:xfrm>
          <a:off x="1828800" y="8553450"/>
          <a:ext cx="1562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</xdr:colOff>
      <xdr:row>88</xdr:row>
      <xdr:rowOff>180975</xdr:rowOff>
    </xdr:from>
    <xdr:to>
      <xdr:col>9</xdr:col>
      <xdr:colOff>771525</xdr:colOff>
      <xdr:row>88</xdr:row>
      <xdr:rowOff>180975</xdr:rowOff>
    </xdr:to>
    <xdr:sp>
      <xdr:nvSpPr>
        <xdr:cNvPr id="12" name="Line 125"/>
        <xdr:cNvSpPr>
          <a:spLocks/>
        </xdr:cNvSpPr>
      </xdr:nvSpPr>
      <xdr:spPr>
        <a:xfrm>
          <a:off x="3686175" y="855345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3" name="Line 120"/>
        <xdr:cNvSpPr>
          <a:spLocks/>
        </xdr:cNvSpPr>
      </xdr:nvSpPr>
      <xdr:spPr>
        <a:xfrm>
          <a:off x="66675" y="33909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14" name="Line 121"/>
        <xdr:cNvSpPr>
          <a:spLocks/>
        </xdr:cNvSpPr>
      </xdr:nvSpPr>
      <xdr:spPr>
        <a:xfrm>
          <a:off x="66675" y="322897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5" name="Line 123"/>
        <xdr:cNvSpPr>
          <a:spLocks/>
        </xdr:cNvSpPr>
      </xdr:nvSpPr>
      <xdr:spPr>
        <a:xfrm>
          <a:off x="66675" y="355282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16" name="Line 120"/>
        <xdr:cNvSpPr>
          <a:spLocks/>
        </xdr:cNvSpPr>
      </xdr:nvSpPr>
      <xdr:spPr>
        <a:xfrm>
          <a:off x="66675" y="371475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17" name="Line 120"/>
        <xdr:cNvSpPr>
          <a:spLocks/>
        </xdr:cNvSpPr>
      </xdr:nvSpPr>
      <xdr:spPr>
        <a:xfrm>
          <a:off x="66675" y="4619625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10</xdr:col>
      <xdr:colOff>0</xdr:colOff>
      <xdr:row>61</xdr:row>
      <xdr:rowOff>0</xdr:rowOff>
    </xdr:to>
    <xdr:sp>
      <xdr:nvSpPr>
        <xdr:cNvPr id="18" name="Line 121"/>
        <xdr:cNvSpPr>
          <a:spLocks/>
        </xdr:cNvSpPr>
      </xdr:nvSpPr>
      <xdr:spPr>
        <a:xfrm>
          <a:off x="66675" y="445770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9" name="Line 123"/>
        <xdr:cNvSpPr>
          <a:spLocks/>
        </xdr:cNvSpPr>
      </xdr:nvSpPr>
      <xdr:spPr>
        <a:xfrm>
          <a:off x="66675" y="4781550"/>
          <a:ext cx="759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42;&#1089;&#1077;&#1075;&#1086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42;&#1089;&#1077;&#1075;&#1086;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9"/>
  <sheetViews>
    <sheetView showGridLines="0" showRowColHeaders="0" showZeros="0" tabSelected="1" showOutlineSymbols="0" zoomScalePageLayoutView="0" workbookViewId="0" topLeftCell="A45">
      <selection activeCell="C11" sqref="C11"/>
    </sheetView>
  </sheetViews>
  <sheetFormatPr defaultColWidth="9.125" defaultRowHeight="12.75"/>
  <cols>
    <col min="1" max="1" width="30.125" style="3" customWidth="1"/>
    <col min="2" max="2" width="3.125" style="3" bestFit="1" customWidth="1"/>
    <col min="3" max="3" width="7.50390625" style="3" customWidth="1"/>
    <col min="4" max="4" width="5.875" style="3" customWidth="1"/>
    <col min="5" max="5" width="18.50390625" style="3" customWidth="1"/>
    <col min="6" max="6" width="7.50390625" style="3" customWidth="1"/>
    <col min="7" max="7" width="3.875" style="3" bestFit="1" customWidth="1"/>
    <col min="8" max="8" width="7.50390625" style="3" customWidth="1"/>
    <col min="9" max="9" width="32.375" style="3" customWidth="1"/>
    <col min="10" max="10" width="14.00390625" style="3" customWidth="1"/>
    <col min="11" max="11" width="30.375" style="149" hidden="1" customWidth="1"/>
    <col min="12" max="12" width="14.00390625" style="148" hidden="1" customWidth="1"/>
    <col min="13" max="13" width="12.625" style="151" hidden="1" customWidth="1"/>
    <col min="14" max="14" width="10.125" style="3" hidden="1" customWidth="1"/>
    <col min="15" max="15" width="9.125" style="3" hidden="1" customWidth="1"/>
    <col min="16" max="16" width="0.5" style="3" customWidth="1"/>
    <col min="17" max="16384" width="9.125" style="3" customWidth="1"/>
  </cols>
  <sheetData>
    <row r="1" spans="1:17" ht="15.75" customHeight="1">
      <c r="A1" s="630" t="str">
        <f>A115</f>
        <v>Введите данные в ячейки, выделенные голубым и зеленым цветом</v>
      </c>
      <c r="B1" s="631"/>
      <c r="C1" s="631"/>
      <c r="D1" s="631"/>
      <c r="E1" s="631"/>
      <c r="F1" s="631"/>
      <c r="G1" s="631"/>
      <c r="H1" s="631"/>
      <c r="I1" s="631"/>
      <c r="J1" s="632"/>
      <c r="P1" s="419" t="s">
        <v>575</v>
      </c>
      <c r="Q1" s="595"/>
    </row>
    <row r="2" spans="1:17" ht="13.5" customHeight="1">
      <c r="A2" s="633"/>
      <c r="B2" s="634"/>
      <c r="C2" s="634"/>
      <c r="D2" s="634"/>
      <c r="E2" s="634"/>
      <c r="F2" s="634"/>
      <c r="G2" s="634"/>
      <c r="H2" s="634"/>
      <c r="I2" s="634"/>
      <c r="J2" s="635"/>
      <c r="P2" s="507"/>
      <c r="Q2" s="595"/>
    </row>
    <row r="3" spans="1:16" ht="42" customHeight="1" thickBot="1">
      <c r="A3" s="639" t="s">
        <v>357</v>
      </c>
      <c r="B3" s="640"/>
      <c r="C3" s="640"/>
      <c r="D3" s="640"/>
      <c r="E3" s="640"/>
      <c r="F3" s="640"/>
      <c r="G3" s="640"/>
      <c r="H3" s="640"/>
      <c r="I3" s="640"/>
      <c r="J3" s="641"/>
      <c r="P3" s="507"/>
    </row>
    <row r="4" spans="1:16" ht="16.5" customHeight="1" thickBot="1">
      <c r="A4" s="442" t="s">
        <v>164</v>
      </c>
      <c r="B4" s="656">
        <v>4</v>
      </c>
      <c r="C4" s="657"/>
      <c r="D4" s="443"/>
      <c r="E4" s="444" t="str">
        <f aca="true" t="shared" si="0" ref="E4:E15">VLOOKUP(A118,$A$118:$H$129,$B$4+1)</f>
        <v>Звёздный</v>
      </c>
      <c r="F4" s="445"/>
      <c r="G4" s="446"/>
      <c r="H4" s="618" t="str">
        <f>"
Экспертное заключение   
 "&amp;ЭЗ!A35</f>
        <v>
Экспертное заключение   
 об уровне квалификации  педагогического работника (концертмейстер)</v>
      </c>
      <c r="I4" s="618"/>
      <c r="J4" s="619"/>
      <c r="P4" s="507"/>
    </row>
    <row r="5" spans="1:16" ht="10.5" customHeight="1">
      <c r="A5" s="447"/>
      <c r="B5" s="443"/>
      <c r="C5" s="443"/>
      <c r="D5" s="443"/>
      <c r="E5" s="448" t="str">
        <f t="shared" si="0"/>
        <v>Ивантеевка</v>
      </c>
      <c r="F5" s="449"/>
      <c r="G5" s="450"/>
      <c r="H5" s="618"/>
      <c r="I5" s="618"/>
      <c r="J5" s="619"/>
      <c r="P5" s="507"/>
    </row>
    <row r="6" spans="1:16" ht="10.5" customHeight="1">
      <c r="A6" s="447"/>
      <c r="B6" s="443"/>
      <c r="C6" s="443"/>
      <c r="D6" s="443"/>
      <c r="E6" s="448" t="str">
        <f t="shared" si="0"/>
        <v>Королёв</v>
      </c>
      <c r="F6" s="449"/>
      <c r="G6" s="450"/>
      <c r="H6" s="618"/>
      <c r="I6" s="618"/>
      <c r="J6" s="619"/>
      <c r="P6" s="507"/>
    </row>
    <row r="7" spans="1:16" ht="13.5" customHeight="1">
      <c r="A7" s="447"/>
      <c r="B7" s="443"/>
      <c r="C7" s="443"/>
      <c r="D7" s="443"/>
      <c r="E7" s="448" t="str">
        <f t="shared" si="0"/>
        <v>Красноармейск</v>
      </c>
      <c r="F7" s="449"/>
      <c r="G7" s="450"/>
      <c r="H7" s="618"/>
      <c r="I7" s="618"/>
      <c r="J7" s="619"/>
      <c r="P7" s="507"/>
    </row>
    <row r="8" spans="1:16" ht="10.5" customHeight="1">
      <c r="A8" s="447"/>
      <c r="B8" s="443"/>
      <c r="C8" s="443"/>
      <c r="D8" s="443"/>
      <c r="E8" s="448" t="str">
        <f t="shared" si="0"/>
        <v>Лосино-Петровский</v>
      </c>
      <c r="F8" s="449"/>
      <c r="G8" s="450"/>
      <c r="H8" s="618" t="str">
        <f>ЭЗ!A36</f>
        <v>государственных, муниципальных и частных образовательных организаций
 Московской области</v>
      </c>
      <c r="I8" s="618"/>
      <c r="J8" s="619"/>
      <c r="P8" s="507"/>
    </row>
    <row r="9" spans="1:16" ht="10.5" customHeight="1">
      <c r="A9" s="447"/>
      <c r="B9" s="443"/>
      <c r="C9" s="443"/>
      <c r="D9" s="443"/>
      <c r="E9" s="448" t="str">
        <f t="shared" si="0"/>
        <v>Мытищи</v>
      </c>
      <c r="F9" s="449"/>
      <c r="G9" s="450"/>
      <c r="H9" s="618"/>
      <c r="I9" s="618"/>
      <c r="J9" s="619"/>
      <c r="P9" s="507"/>
    </row>
    <row r="10" spans="1:16" ht="10.5" customHeight="1">
      <c r="A10" s="447"/>
      <c r="B10" s="443"/>
      <c r="C10" s="443"/>
      <c r="D10" s="443"/>
      <c r="E10" s="448" t="str">
        <f t="shared" si="0"/>
        <v>Пушкинский</v>
      </c>
      <c r="F10" s="449"/>
      <c r="G10" s="450"/>
      <c r="H10" s="618"/>
      <c r="I10" s="618"/>
      <c r="J10" s="619"/>
      <c r="P10" s="507"/>
    </row>
    <row r="11" spans="1:16" ht="10.5" customHeight="1">
      <c r="A11" s="447"/>
      <c r="B11" s="443"/>
      <c r="C11" s="443"/>
      <c r="D11" s="443"/>
      <c r="E11" s="448" t="str">
        <f t="shared" si="0"/>
        <v>Сергиево-Посадский</v>
      </c>
      <c r="F11" s="449"/>
      <c r="G11" s="450"/>
      <c r="H11" s="618"/>
      <c r="I11" s="618"/>
      <c r="J11" s="619"/>
      <c r="P11" s="507"/>
    </row>
    <row r="12" spans="1:16" ht="10.5" customHeight="1">
      <c r="A12" s="447"/>
      <c r="B12" s="443"/>
      <c r="C12" s="443"/>
      <c r="D12" s="443"/>
      <c r="E12" s="448" t="str">
        <f t="shared" si="0"/>
        <v>Фрязино</v>
      </c>
      <c r="F12" s="449"/>
      <c r="G12" s="450"/>
      <c r="H12" s="620" t="str">
        <f>"( "&amp;K30&amp;" )"</f>
        <v>( концертмейстера )</v>
      </c>
      <c r="I12" s="620"/>
      <c r="J12" s="621"/>
      <c r="P12" s="507"/>
    </row>
    <row r="13" spans="1:16" ht="10.5" customHeight="1">
      <c r="A13" s="447"/>
      <c r="B13" s="443"/>
      <c r="C13" s="443"/>
      <c r="D13" s="443"/>
      <c r="E13" s="448" t="str">
        <f t="shared" si="0"/>
        <v>Щёлковский</v>
      </c>
      <c r="F13" s="449"/>
      <c r="G13" s="450"/>
      <c r="H13" s="620"/>
      <c r="I13" s="620"/>
      <c r="J13" s="621"/>
      <c r="P13" s="507"/>
    </row>
    <row r="14" spans="1:16" ht="10.5" customHeight="1">
      <c r="A14" s="447"/>
      <c r="B14" s="443"/>
      <c r="C14" s="443"/>
      <c r="D14" s="443"/>
      <c r="E14" s="448">
        <f t="shared" si="0"/>
        <v>0</v>
      </c>
      <c r="F14" s="449"/>
      <c r="G14" s="450"/>
      <c r="H14" s="620"/>
      <c r="I14" s="620"/>
      <c r="J14" s="621"/>
      <c r="P14" s="507"/>
    </row>
    <row r="15" spans="1:16" ht="12.75">
      <c r="A15" s="447"/>
      <c r="B15" s="443"/>
      <c r="C15" s="443"/>
      <c r="D15" s="443"/>
      <c r="E15" s="448">
        <f t="shared" si="0"/>
        <v>0</v>
      </c>
      <c r="F15" s="449"/>
      <c r="G15" s="450"/>
      <c r="H15" s="620"/>
      <c r="I15" s="620"/>
      <c r="J15" s="621"/>
      <c r="P15" s="507"/>
    </row>
    <row r="16" spans="1:16" ht="10.5" customHeight="1" thickBot="1">
      <c r="A16" s="447"/>
      <c r="B16" s="450"/>
      <c r="C16" s="450"/>
      <c r="D16" s="450"/>
      <c r="E16" s="451">
        <f>VLOOKUP(A130,$A$118:$H$130,$B$4+1)</f>
        <v>0</v>
      </c>
      <c r="F16" s="452"/>
      <c r="G16" s="450"/>
      <c r="H16" s="450"/>
      <c r="I16" s="450"/>
      <c r="J16" s="453"/>
      <c r="P16" s="507"/>
    </row>
    <row r="17" spans="1:16" ht="15">
      <c r="A17" s="622" t="s">
        <v>110</v>
      </c>
      <c r="B17" s="623"/>
      <c r="C17" s="623"/>
      <c r="D17" s="623"/>
      <c r="E17" s="624"/>
      <c r="F17" s="624"/>
      <c r="G17" s="623"/>
      <c r="H17" s="623"/>
      <c r="I17" s="623"/>
      <c r="J17" s="320"/>
      <c r="P17" s="507"/>
    </row>
    <row r="18" spans="1:16" ht="12.75" hidden="1">
      <c r="A18" s="271"/>
      <c r="B18" s="21"/>
      <c r="C18" s="21"/>
      <c r="D18" s="21"/>
      <c r="E18" s="21"/>
      <c r="F18" s="21"/>
      <c r="G18" s="21"/>
      <c r="H18" s="21"/>
      <c r="I18" s="21"/>
      <c r="J18" s="256"/>
      <c r="K18" s="149" t="s">
        <v>206</v>
      </c>
      <c r="L18" s="148" t="s">
        <v>207</v>
      </c>
      <c r="M18" s="151" t="s">
        <v>208</v>
      </c>
      <c r="P18" s="507"/>
    </row>
    <row r="19" spans="1:16" ht="9.75" customHeight="1" hidden="1">
      <c r="A19" s="271"/>
      <c r="B19" s="21"/>
      <c r="C19" s="21"/>
      <c r="D19" s="21"/>
      <c r="E19" s="21"/>
      <c r="F19" s="21"/>
      <c r="G19" s="21"/>
      <c r="H19" s="21"/>
      <c r="I19" s="21"/>
      <c r="J19" s="256"/>
      <c r="P19" s="507"/>
    </row>
    <row r="20" spans="1:16" ht="9.75" customHeight="1" hidden="1">
      <c r="A20" s="271"/>
      <c r="B20" s="21"/>
      <c r="C20" s="21"/>
      <c r="D20" s="21"/>
      <c r="E20" s="21"/>
      <c r="F20" s="21"/>
      <c r="G20" s="21"/>
      <c r="H20" s="21"/>
      <c r="I20" s="21"/>
      <c r="J20" s="256"/>
      <c r="P20" s="507"/>
    </row>
    <row r="21" spans="1:16" ht="9.75" customHeight="1" hidden="1">
      <c r="A21" s="271"/>
      <c r="B21" s="21"/>
      <c r="C21" s="21"/>
      <c r="D21" s="21"/>
      <c r="E21" s="21"/>
      <c r="F21" s="21"/>
      <c r="G21" s="21"/>
      <c r="H21" s="21"/>
      <c r="I21" s="21"/>
      <c r="J21" s="256"/>
      <c r="P21" s="507"/>
    </row>
    <row r="22" spans="1:16" ht="9.75" customHeight="1" hidden="1">
      <c r="A22" s="271"/>
      <c r="B22" s="21"/>
      <c r="C22" s="21"/>
      <c r="D22" s="21"/>
      <c r="E22" s="21"/>
      <c r="F22" s="21"/>
      <c r="G22" s="21"/>
      <c r="H22" s="21"/>
      <c r="I22" s="21"/>
      <c r="J22" s="256"/>
      <c r="P22" s="507"/>
    </row>
    <row r="23" spans="1:16" ht="9.75" customHeight="1" hidden="1">
      <c r="A23" s="271"/>
      <c r="B23" s="21"/>
      <c r="C23" s="21"/>
      <c r="D23" s="21"/>
      <c r="E23" s="21"/>
      <c r="F23" s="21"/>
      <c r="G23" s="21"/>
      <c r="H23" s="21"/>
      <c r="I23" s="21"/>
      <c r="J23" s="256"/>
      <c r="P23" s="507"/>
    </row>
    <row r="24" spans="1:16" ht="5.25" customHeight="1">
      <c r="A24" s="271"/>
      <c r="B24" s="21"/>
      <c r="C24" s="21"/>
      <c r="D24" s="21"/>
      <c r="E24" s="21"/>
      <c r="F24" s="21"/>
      <c r="G24" s="21"/>
      <c r="H24" s="21"/>
      <c r="I24" s="21"/>
      <c r="J24" s="256"/>
      <c r="P24" s="507"/>
    </row>
    <row r="25" spans="1:16" ht="15">
      <c r="A25" s="615" t="s">
        <v>111</v>
      </c>
      <c r="B25" s="626"/>
      <c r="C25" s="636"/>
      <c r="D25" s="636"/>
      <c r="E25" s="636"/>
      <c r="F25" s="636"/>
      <c r="G25" s="636"/>
      <c r="H25" s="636"/>
      <c r="I25" s="636"/>
      <c r="J25" s="300"/>
      <c r="K25" s="150">
        <f>IF(LEN(L25)&gt;40,M25,L25)</f>
      </c>
      <c r="L25" s="148">
        <f>PROPER(TRIM(C25))</f>
      </c>
      <c r="M25" s="151">
        <f>IF(L25="","",LEFT(L25,(FIND(" ",L25)+1))&amp;"."&amp;MID(L25,FIND(" ",L25,FIND(" ",L25)+1)+1,1)&amp;".")</f>
      </c>
      <c r="P25" s="507"/>
    </row>
    <row r="26" spans="1:16" ht="4.5" customHeight="1">
      <c r="A26" s="245"/>
      <c r="B26" s="113"/>
      <c r="C26" s="174"/>
      <c r="D26" s="174"/>
      <c r="E26" s="174"/>
      <c r="F26" s="174"/>
      <c r="G26" s="174"/>
      <c r="H26" s="174"/>
      <c r="I26" s="174"/>
      <c r="J26" s="301"/>
      <c r="K26" s="175"/>
      <c r="P26" s="507"/>
    </row>
    <row r="27" spans="1:16" ht="15">
      <c r="A27" s="615" t="s">
        <v>112</v>
      </c>
      <c r="B27" s="626"/>
      <c r="C27" s="626"/>
      <c r="D27" s="627"/>
      <c r="E27" s="627"/>
      <c r="F27" s="627"/>
      <c r="G27" s="625"/>
      <c r="H27" s="625"/>
      <c r="I27" s="625"/>
      <c r="J27" s="300"/>
      <c r="K27" s="150"/>
      <c r="P27" s="507"/>
    </row>
    <row r="28" spans="1:16" ht="5.25" customHeight="1">
      <c r="A28" s="245"/>
      <c r="B28" s="113"/>
      <c r="C28" s="174"/>
      <c r="D28" s="174"/>
      <c r="E28" s="174"/>
      <c r="F28" s="174"/>
      <c r="G28" s="174"/>
      <c r="H28" s="174"/>
      <c r="I28" s="174"/>
      <c r="J28" s="301"/>
      <c r="K28" s="175"/>
      <c r="P28" s="507"/>
    </row>
    <row r="29" spans="1:16" ht="15">
      <c r="A29" s="615" t="s">
        <v>150</v>
      </c>
      <c r="B29" s="626"/>
      <c r="C29" s="637"/>
      <c r="D29" s="637"/>
      <c r="E29" s="637"/>
      <c r="F29" s="637"/>
      <c r="G29" s="637"/>
      <c r="H29" s="637"/>
      <c r="I29" s="637"/>
      <c r="J29" s="302"/>
      <c r="P29" s="507"/>
    </row>
    <row r="30" spans="1:16" ht="29.25" customHeight="1">
      <c r="A30" s="628"/>
      <c r="B30" s="629"/>
      <c r="C30" s="638"/>
      <c r="D30" s="638"/>
      <c r="E30" s="638"/>
      <c r="F30" s="638"/>
      <c r="G30" s="638"/>
      <c r="H30" s="638"/>
      <c r="I30" s="638"/>
      <c r="J30" s="302"/>
      <c r="K30" s="149" t="str">
        <f>K32&amp;"а"</f>
        <v>концертмейстера</v>
      </c>
      <c r="P30" s="507"/>
    </row>
    <row r="31" spans="1:16" ht="4.5" customHeight="1">
      <c r="A31" s="303"/>
      <c r="B31" s="146"/>
      <c r="C31" s="176"/>
      <c r="D31" s="176"/>
      <c r="E31" s="176"/>
      <c r="F31" s="176"/>
      <c r="G31" s="176"/>
      <c r="H31" s="176"/>
      <c r="I31" s="176"/>
      <c r="J31" s="304"/>
      <c r="P31" s="507"/>
    </row>
    <row r="32" spans="1:16" ht="15">
      <c r="A32" s="615" t="s">
        <v>151</v>
      </c>
      <c r="B32" s="616"/>
      <c r="C32" s="617" t="s">
        <v>198</v>
      </c>
      <c r="D32" s="617"/>
      <c r="E32" s="617"/>
      <c r="F32" s="617"/>
      <c r="G32" s="617"/>
      <c r="H32" s="617"/>
      <c r="I32" s="114"/>
      <c r="J32" s="305"/>
      <c r="K32" s="3" t="str">
        <f>LOWER(TRIM(C32))</f>
        <v>концертмейстер</v>
      </c>
      <c r="L32" s="161">
        <f>LEN(K33)</f>
        <v>0</v>
      </c>
      <c r="P32" s="507"/>
    </row>
    <row r="33" spans="1:16" ht="13.5" hidden="1">
      <c r="A33" s="245" t="str">
        <f>K34</f>
        <v>-</v>
      </c>
      <c r="B33" s="170"/>
      <c r="C33" s="688"/>
      <c r="D33" s="688"/>
      <c r="E33" s="688"/>
      <c r="F33" s="688"/>
      <c r="G33" s="688"/>
      <c r="H33" s="688"/>
      <c r="I33" s="688"/>
      <c r="J33" s="305"/>
      <c r="K33" s="162">
        <f>LOWER(TRIM(C33))</f>
      </c>
      <c r="L33" s="161">
        <f>IF(C32="",0,1)</f>
        <v>1</v>
      </c>
      <c r="P33" s="507"/>
    </row>
    <row r="34" spans="1:16" ht="3.75" customHeight="1">
      <c r="A34" s="271"/>
      <c r="B34" s="23"/>
      <c r="C34" s="647"/>
      <c r="D34" s="647"/>
      <c r="E34" s="647"/>
      <c r="F34" s="647"/>
      <c r="G34" s="647"/>
      <c r="H34" s="647"/>
      <c r="I34" s="647"/>
      <c r="J34" s="306"/>
      <c r="K34" s="3" t="str">
        <f>IF(C32="","-",IF(VLOOKUP(C32,A136:C170,3)="v","Специализация","-"))</f>
        <v>-</v>
      </c>
      <c r="P34" s="507"/>
    </row>
    <row r="35" spans="1:16" ht="4.5" customHeight="1" hidden="1">
      <c r="A35" s="245"/>
      <c r="B35" s="113"/>
      <c r="C35" s="21"/>
      <c r="D35" s="21"/>
      <c r="E35" s="21"/>
      <c r="F35" s="21"/>
      <c r="G35" s="21"/>
      <c r="H35" s="21"/>
      <c r="I35" s="21"/>
      <c r="J35" s="307"/>
      <c r="K35" s="162"/>
      <c r="P35" s="507"/>
    </row>
    <row r="36" spans="1:16" ht="13.5" hidden="1">
      <c r="A36" s="308" t="str">
        <f>IF(OR(C32&lt;&gt;"",C33&lt;&gt;""),"В ЭЗ будет указана должность: ","")</f>
        <v>В ЭЗ будет указана должность: </v>
      </c>
      <c r="B36" s="171"/>
      <c r="C36" s="648">
        <f>K33</f>
      </c>
      <c r="D36" s="648"/>
      <c r="E36" s="648"/>
      <c r="F36" s="648"/>
      <c r="G36" s="648"/>
      <c r="H36" s="648"/>
      <c r="I36" s="648"/>
      <c r="J36" s="309"/>
      <c r="K36" s="162"/>
      <c r="P36" s="507"/>
    </row>
    <row r="37" spans="1:16" ht="3" customHeight="1">
      <c r="A37" s="310" t="str">
        <f>IF(D37="","","В ЭЗ будет указана квалификация:")</f>
        <v>В ЭЗ будет указана квалификация:</v>
      </c>
      <c r="B37" s="228"/>
      <c r="C37" s="229"/>
      <c r="D37" s="230" t="str">
        <f>IF(C32&lt;&gt;"",ЭЗ!L30,"")</f>
        <v>концертмейстера</v>
      </c>
      <c r="E37" s="229"/>
      <c r="F37" s="229"/>
      <c r="G37" s="229"/>
      <c r="H37" s="229"/>
      <c r="I37" s="229"/>
      <c r="J37" s="311"/>
      <c r="K37" s="162"/>
      <c r="P37" s="507"/>
    </row>
    <row r="38" spans="1:16" ht="13.5" hidden="1">
      <c r="A38" s="245"/>
      <c r="B38" s="113"/>
      <c r="C38" s="169"/>
      <c r="D38" s="169"/>
      <c r="E38" s="169"/>
      <c r="F38" s="169"/>
      <c r="G38" s="169"/>
      <c r="H38" s="163"/>
      <c r="I38" s="163"/>
      <c r="J38" s="312"/>
      <c r="K38" s="162"/>
      <c r="P38" s="507"/>
    </row>
    <row r="39" spans="1:16" ht="12.75" hidden="1">
      <c r="A39" s="271"/>
      <c r="B39" s="21"/>
      <c r="C39" s="21"/>
      <c r="D39" s="21"/>
      <c r="E39" s="21"/>
      <c r="F39" s="21"/>
      <c r="G39" s="21"/>
      <c r="H39" s="21"/>
      <c r="I39" s="21"/>
      <c r="J39" s="307"/>
      <c r="P39" s="507"/>
    </row>
    <row r="40" spans="1:16" ht="15">
      <c r="A40" s="615" t="s">
        <v>161</v>
      </c>
      <c r="B40" s="626"/>
      <c r="C40" s="626"/>
      <c r="D40" s="164"/>
      <c r="E40" s="165"/>
      <c r="F40" s="114"/>
      <c r="G40" s="114"/>
      <c r="H40" s="114"/>
      <c r="I40" s="114"/>
      <c r="J40" s="305"/>
      <c r="P40" s="507"/>
    </row>
    <row r="41" spans="1:16" ht="15">
      <c r="A41" s="653" t="s">
        <v>162</v>
      </c>
      <c r="B41" s="654"/>
      <c r="C41" s="654"/>
      <c r="D41" s="665"/>
      <c r="E41" s="665"/>
      <c r="F41" s="664" t="s">
        <v>163</v>
      </c>
      <c r="G41" s="664"/>
      <c r="H41" s="664"/>
      <c r="I41" s="454"/>
      <c r="J41" s="455"/>
      <c r="K41" s="456"/>
      <c r="L41" s="457" t="s">
        <v>490</v>
      </c>
      <c r="M41" s="458">
        <f ca="1">TODAY()-5*365-90</f>
        <v>41517</v>
      </c>
      <c r="N41" s="458">
        <f ca="1">TODAY()</f>
        <v>43432</v>
      </c>
      <c r="O41" s="459">
        <f>N41-5*365-40</f>
        <v>41567</v>
      </c>
      <c r="P41" s="507"/>
    </row>
    <row r="42" spans="1:16" ht="4.5" customHeight="1">
      <c r="A42" s="425"/>
      <c r="B42" s="426"/>
      <c r="C42" s="426"/>
      <c r="D42" s="460"/>
      <c r="E42" s="461"/>
      <c r="F42" s="461"/>
      <c r="G42" s="461"/>
      <c r="H42" s="461"/>
      <c r="I42" s="461"/>
      <c r="J42" s="455"/>
      <c r="K42" s="456"/>
      <c r="L42" s="462"/>
      <c r="M42" s="463" t="s">
        <v>491</v>
      </c>
      <c r="N42" s="463" t="s">
        <v>492</v>
      </c>
      <c r="P42" s="507"/>
    </row>
    <row r="43" spans="1:16" ht="15">
      <c r="A43" s="425" t="s">
        <v>113</v>
      </c>
      <c r="B43" s="426"/>
      <c r="C43" s="426"/>
      <c r="D43" s="649"/>
      <c r="E43" s="649"/>
      <c r="F43" s="464">
        <f>IF(G43="","","примеч.")</f>
      </c>
      <c r="G43" s="650"/>
      <c r="H43" s="650"/>
      <c r="I43" s="465"/>
      <c r="J43" s="455">
        <f>IF(G43="","","г. )")</f>
      </c>
      <c r="K43" s="466">
        <f>IF(I43&lt;&gt;"",G43,"")</f>
      </c>
      <c r="L43" s="467">
        <f>IF(I43&lt;&gt;"",I43,"")</f>
      </c>
      <c r="M43" s="468">
        <f>IF(I43&lt;&gt;"",J43,"")</f>
      </c>
      <c r="N43" s="151"/>
      <c r="P43" s="507"/>
    </row>
    <row r="44" spans="1:16" ht="15">
      <c r="A44" s="245"/>
      <c r="B44" s="113"/>
      <c r="C44" s="113"/>
      <c r="D44" s="113"/>
      <c r="E44" s="113"/>
      <c r="F44" s="113"/>
      <c r="G44" s="113"/>
      <c r="H44" s="56"/>
      <c r="I44" s="56"/>
      <c r="J44" s="256"/>
      <c r="K44" s="172"/>
      <c r="L44" s="172"/>
      <c r="M44" s="148"/>
      <c r="N44" s="151"/>
      <c r="P44" s="507"/>
    </row>
    <row r="45" spans="1:57" ht="15">
      <c r="A45" s="472" t="s">
        <v>501</v>
      </c>
      <c r="B45" s="646" t="s">
        <v>502</v>
      </c>
      <c r="C45" s="646"/>
      <c r="D45" s="646"/>
      <c r="E45" s="646"/>
      <c r="F45" s="113"/>
      <c r="G45" s="113"/>
      <c r="H45" s="56"/>
      <c r="I45" s="56"/>
      <c r="J45" s="256"/>
      <c r="K45" s="473" t="s">
        <v>498</v>
      </c>
      <c r="L45" s="473" t="s">
        <v>502</v>
      </c>
      <c r="M45" s="473" t="s">
        <v>503</v>
      </c>
      <c r="N45" s="473" t="s">
        <v>504</v>
      </c>
      <c r="O45" s="473" t="s">
        <v>505</v>
      </c>
      <c r="P45" s="507"/>
      <c r="Q45" s="474"/>
      <c r="R45" s="474"/>
      <c r="S45" s="21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>
      <c r="A46" s="271"/>
      <c r="B46" s="113"/>
      <c r="C46" s="113"/>
      <c r="D46" s="113"/>
      <c r="E46" s="113"/>
      <c r="F46" s="113"/>
      <c r="G46" s="113"/>
      <c r="H46" s="56"/>
      <c r="I46" s="56"/>
      <c r="J46" s="256"/>
      <c r="K46" s="474"/>
      <c r="L46" s="474"/>
      <c r="M46" s="474"/>
      <c r="N46" s="474"/>
      <c r="O46" s="474"/>
      <c r="P46" s="507"/>
      <c r="Q46" s="474"/>
      <c r="R46" s="474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>
      <c r="A47" s="271"/>
      <c r="B47" s="113"/>
      <c r="C47" s="113"/>
      <c r="D47" s="113"/>
      <c r="E47" s="113"/>
      <c r="F47" s="113"/>
      <c r="G47" s="475"/>
      <c r="H47" s="475"/>
      <c r="I47" s="475"/>
      <c r="J47" s="256"/>
      <c r="K47" s="474"/>
      <c r="L47" s="474"/>
      <c r="M47" s="474"/>
      <c r="N47" s="474"/>
      <c r="O47" s="474"/>
      <c r="P47" s="507"/>
      <c r="Q47" s="474"/>
      <c r="R47" s="47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>
      <c r="A48" s="667" t="str">
        <f>B45</f>
        <v>высшее</v>
      </c>
      <c r="B48" s="642"/>
      <c r="C48" s="642"/>
      <c r="D48" s="642"/>
      <c r="E48" s="642"/>
      <c r="F48" s="642"/>
      <c r="G48" s="642"/>
      <c r="H48" s="642"/>
      <c r="I48" s="642"/>
      <c r="J48" s="643"/>
      <c r="K48" s="161">
        <f>LEN(B48)</f>
        <v>0</v>
      </c>
      <c r="L48" s="476">
        <f>TRIM(вуз_1&amp;IF(год_вуз_1="","",", "&amp;год_вуз_1&amp;"г."))</f>
      </c>
      <c r="M48" s="474"/>
      <c r="N48" s="474"/>
      <c r="O48" s="474"/>
      <c r="P48" s="507"/>
      <c r="Q48" s="474"/>
      <c r="R48" s="474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>
      <c r="A49" s="668"/>
      <c r="B49" s="642"/>
      <c r="C49" s="642"/>
      <c r="D49" s="642"/>
      <c r="E49" s="642"/>
      <c r="F49" s="642"/>
      <c r="G49" s="642"/>
      <c r="H49" s="642"/>
      <c r="I49" s="642"/>
      <c r="J49" s="643"/>
      <c r="K49" s="3"/>
      <c r="L49" s="474"/>
      <c r="M49" s="474"/>
      <c r="N49" s="474"/>
      <c r="O49" s="474"/>
      <c r="P49" s="507"/>
      <c r="Q49" s="474"/>
      <c r="R49" s="474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">
      <c r="A50" s="271"/>
      <c r="B50" s="666" t="s">
        <v>506</v>
      </c>
      <c r="C50" s="666"/>
      <c r="D50" s="666"/>
      <c r="E50" s="477"/>
      <c r="F50" s="21"/>
      <c r="G50" s="21"/>
      <c r="H50" s="21"/>
      <c r="I50" s="21"/>
      <c r="J50" s="256"/>
      <c r="K50" s="478">
        <f>IF(B50="год окончания",год+2000,6)</f>
        <v>2018</v>
      </c>
      <c r="L50" s="474"/>
      <c r="M50" s="474"/>
      <c r="N50" s="474"/>
      <c r="O50" s="474"/>
      <c r="P50" s="507"/>
      <c r="Q50" s="474"/>
      <c r="R50" s="474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>
      <c r="A51" s="271"/>
      <c r="B51" s="21"/>
      <c r="C51" s="21"/>
      <c r="D51" s="21"/>
      <c r="E51" s="21"/>
      <c r="F51" s="21"/>
      <c r="G51" s="21"/>
      <c r="H51" s="21"/>
      <c r="I51" s="21"/>
      <c r="J51" s="256"/>
      <c r="K51" s="3"/>
      <c r="L51" s="474"/>
      <c r="M51" s="474"/>
      <c r="N51" s="474"/>
      <c r="O51" s="474"/>
      <c r="P51" s="507"/>
      <c r="Q51" s="474"/>
      <c r="R51" s="474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>
      <c r="A52" s="651"/>
      <c r="B52" s="642"/>
      <c r="C52" s="642"/>
      <c r="D52" s="642"/>
      <c r="E52" s="642"/>
      <c r="F52" s="642"/>
      <c r="G52" s="642"/>
      <c r="H52" s="642"/>
      <c r="I52" s="642"/>
      <c r="J52" s="643"/>
      <c r="K52" s="161">
        <f>LEN(B52)</f>
        <v>0</v>
      </c>
      <c r="L52" s="476">
        <f>TRIM(вуз_2&amp;IF(год_вуз_2="","",", "&amp;год_вуз_2&amp;"г."))</f>
      </c>
      <c r="M52" s="148"/>
      <c r="N52" s="479"/>
      <c r="O52" s="479"/>
      <c r="P52" s="507"/>
      <c r="Q52" s="480"/>
      <c r="R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</row>
    <row r="53" spans="1:57" ht="18" customHeight="1">
      <c r="A53" s="652"/>
      <c r="B53" s="642"/>
      <c r="C53" s="642"/>
      <c r="D53" s="642"/>
      <c r="E53" s="642"/>
      <c r="F53" s="642"/>
      <c r="G53" s="642"/>
      <c r="H53" s="642"/>
      <c r="I53" s="642"/>
      <c r="J53" s="643"/>
      <c r="K53" s="480"/>
      <c r="L53" s="480"/>
      <c r="M53" s="480"/>
      <c r="N53" s="480"/>
      <c r="O53" s="480"/>
      <c r="P53" s="507"/>
      <c r="Q53" s="480"/>
      <c r="R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</row>
    <row r="54" spans="1:57" ht="15">
      <c r="A54" s="271"/>
      <c r="B54" s="666" t="s">
        <v>506</v>
      </c>
      <c r="C54" s="666"/>
      <c r="D54" s="666"/>
      <c r="E54" s="477"/>
      <c r="F54" s="21"/>
      <c r="G54" s="21"/>
      <c r="H54" s="21"/>
      <c r="I54" s="21"/>
      <c r="J54" s="256"/>
      <c r="K54" s="478">
        <f>IF(B54="год окончания",год+2000,6)</f>
        <v>2018</v>
      </c>
      <c r="L54" s="474"/>
      <c r="M54" s="474"/>
      <c r="N54" s="474"/>
      <c r="O54" s="474"/>
      <c r="P54" s="507"/>
      <c r="Q54" s="474"/>
      <c r="R54" s="474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>
      <c r="A55" s="271"/>
      <c r="B55" s="21"/>
      <c r="C55" s="21"/>
      <c r="D55" s="21"/>
      <c r="E55" s="21"/>
      <c r="F55" s="21"/>
      <c r="G55" s="21"/>
      <c r="H55" s="21"/>
      <c r="I55" s="21"/>
      <c r="J55" s="256"/>
      <c r="K55" s="3"/>
      <c r="L55" s="474"/>
      <c r="M55" s="474"/>
      <c r="N55" s="474"/>
      <c r="O55" s="474"/>
      <c r="P55" s="507"/>
      <c r="Q55" s="474"/>
      <c r="R55" s="474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>
      <c r="A56" s="651"/>
      <c r="B56" s="642"/>
      <c r="C56" s="642"/>
      <c r="D56" s="642"/>
      <c r="E56" s="642"/>
      <c r="F56" s="642"/>
      <c r="G56" s="642"/>
      <c r="H56" s="642"/>
      <c r="I56" s="642"/>
      <c r="J56" s="643"/>
      <c r="K56" s="161">
        <f>LEN(B56)</f>
        <v>0</v>
      </c>
      <c r="L56" s="476">
        <f>TRIM(вуз_3&amp;IF(год_вуз_3="","",", "&amp;год_вуз_3&amp;"г."))</f>
      </c>
      <c r="M56" s="474"/>
      <c r="N56" s="474"/>
      <c r="O56" s="474"/>
      <c r="P56" s="507"/>
      <c r="Q56" s="474"/>
      <c r="R56" s="474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>
      <c r="A57" s="652"/>
      <c r="B57" s="642"/>
      <c r="C57" s="642"/>
      <c r="D57" s="642"/>
      <c r="E57" s="642"/>
      <c r="F57" s="642"/>
      <c r="G57" s="642"/>
      <c r="H57" s="642"/>
      <c r="I57" s="642"/>
      <c r="J57" s="643"/>
      <c r="K57" s="3"/>
      <c r="L57" s="474"/>
      <c r="M57" s="474"/>
      <c r="N57" s="474"/>
      <c r="O57" s="474"/>
      <c r="P57" s="507"/>
      <c r="Q57" s="474"/>
      <c r="R57" s="474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5">
      <c r="A58" s="271"/>
      <c r="B58" s="666" t="s">
        <v>506</v>
      </c>
      <c r="C58" s="666"/>
      <c r="D58" s="666"/>
      <c r="E58" s="477"/>
      <c r="F58" s="21"/>
      <c r="G58" s="21"/>
      <c r="H58" s="21"/>
      <c r="I58" s="21"/>
      <c r="J58" s="256"/>
      <c r="K58" s="478">
        <f>IF(B58="год окончания",год+2000,6)</f>
        <v>2018</v>
      </c>
      <c r="L58" s="474"/>
      <c r="M58" s="474"/>
      <c r="N58" s="474"/>
      <c r="O58" s="474"/>
      <c r="P58" s="507"/>
      <c r="Q58" s="474"/>
      <c r="R58" s="474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>
      <c r="A59" s="271"/>
      <c r="B59" s="21"/>
      <c r="C59" s="21"/>
      <c r="D59" s="21"/>
      <c r="E59" s="21"/>
      <c r="F59" s="21"/>
      <c r="G59" s="21"/>
      <c r="H59" s="21"/>
      <c r="I59" s="21"/>
      <c r="J59" s="256"/>
      <c r="K59" s="3"/>
      <c r="L59" s="474"/>
      <c r="M59" s="474"/>
      <c r="N59" s="474"/>
      <c r="O59" s="474"/>
      <c r="P59" s="507"/>
      <c r="Q59" s="474"/>
      <c r="R59" s="474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16" ht="3" customHeight="1">
      <c r="A60" s="271"/>
      <c r="B60" s="21"/>
      <c r="C60" s="21"/>
      <c r="D60" s="21"/>
      <c r="E60" s="21"/>
      <c r="F60" s="21"/>
      <c r="G60" s="21"/>
      <c r="H60" s="21"/>
      <c r="I60" s="21"/>
      <c r="J60" s="256"/>
      <c r="K60" s="262"/>
      <c r="L60" s="149"/>
      <c r="M60" s="148"/>
      <c r="N60" s="151"/>
      <c r="P60" s="507"/>
    </row>
    <row r="61" spans="1:18" ht="29.25" customHeight="1">
      <c r="A61" s="658" t="s">
        <v>288</v>
      </c>
      <c r="B61" s="624"/>
      <c r="C61" s="624"/>
      <c r="D61" s="624"/>
      <c r="E61" s="624"/>
      <c r="F61" s="624"/>
      <c r="G61" s="624"/>
      <c r="H61" s="624"/>
      <c r="I61" s="624"/>
      <c r="J61" s="241"/>
      <c r="K61" s="177"/>
      <c r="L61" s="149"/>
      <c r="M61" s="148"/>
      <c r="N61" s="24"/>
      <c r="O61" s="24"/>
      <c r="P61" s="507"/>
      <c r="Q61" s="24"/>
      <c r="R61" s="24"/>
    </row>
    <row r="62" spans="1:18" ht="2.25" customHeight="1">
      <c r="A62" s="481"/>
      <c r="B62" s="177"/>
      <c r="C62" s="177"/>
      <c r="D62" s="177"/>
      <c r="E62" s="177"/>
      <c r="F62" s="177"/>
      <c r="G62" s="177"/>
      <c r="H62" s="177"/>
      <c r="I62" s="177"/>
      <c r="J62" s="269"/>
      <c r="K62" s="177"/>
      <c r="L62" s="177"/>
      <c r="M62" s="149"/>
      <c r="N62" s="148"/>
      <c r="O62" s="24"/>
      <c r="P62" s="507"/>
      <c r="Q62" s="24"/>
      <c r="R62" s="24"/>
    </row>
    <row r="63" spans="1:57" ht="16.5" customHeight="1">
      <c r="A63" s="271" t="s">
        <v>547</v>
      </c>
      <c r="B63" s="21"/>
      <c r="C63" s="21"/>
      <c r="D63" s="26"/>
      <c r="E63" s="482"/>
      <c r="F63" s="483"/>
      <c r="G63" s="483"/>
      <c r="H63" s="483"/>
      <c r="I63" s="21"/>
      <c r="J63" s="256"/>
      <c r="K63" s="172"/>
      <c r="L63" s="3"/>
      <c r="M63" s="480"/>
      <c r="N63" s="480"/>
      <c r="O63" s="480"/>
      <c r="P63" s="507"/>
      <c r="Q63" s="480"/>
      <c r="R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</row>
    <row r="64" spans="1:57" ht="18.75">
      <c r="A64" s="661" t="s">
        <v>251</v>
      </c>
      <c r="B64" s="662"/>
      <c r="C64" s="662"/>
      <c r="D64" s="484"/>
      <c r="E64" s="663" t="s">
        <v>506</v>
      </c>
      <c r="F64" s="663"/>
      <c r="G64" s="663"/>
      <c r="H64" s="485"/>
      <c r="I64" s="486" t="s">
        <v>507</v>
      </c>
      <c r="J64" s="487"/>
      <c r="K64" s="478">
        <f>IF(E64="год окончания",год+2000,6)</f>
        <v>2018</v>
      </c>
      <c r="L64" s="488">
        <f>IF(E64="год окончания",год+2000-6,1)</f>
        <v>2012</v>
      </c>
      <c r="M64" s="149">
        <f>IF(A64=N69,""," ("&amp;A64&amp;")")</f>
      </c>
      <c r="P64" s="507"/>
      <c r="AE64" s="480"/>
      <c r="AF64" s="480"/>
      <c r="AG64" s="480"/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</row>
    <row r="65" spans="1:57" ht="2.25" customHeight="1">
      <c r="A65" s="489"/>
      <c r="B65" s="484"/>
      <c r="C65" s="484"/>
      <c r="D65" s="484"/>
      <c r="E65" s="484"/>
      <c r="F65" s="484"/>
      <c r="G65" s="484"/>
      <c r="H65" s="484"/>
      <c r="I65" s="484"/>
      <c r="J65" s="256"/>
      <c r="K65" s="3"/>
      <c r="L65" s="149"/>
      <c r="M65" s="148"/>
      <c r="P65" s="507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</row>
    <row r="66" spans="1:57" ht="16.5" customHeight="1">
      <c r="A66" s="271"/>
      <c r="B66" s="642"/>
      <c r="C66" s="642"/>
      <c r="D66" s="642"/>
      <c r="E66" s="642"/>
      <c r="F66" s="642"/>
      <c r="G66" s="642"/>
      <c r="H66" s="642"/>
      <c r="I66" s="642"/>
      <c r="J66" s="643"/>
      <c r="K66" s="172"/>
      <c r="L66" s="476">
        <f>IF(A64=N69,"",IF(доп_по="","",TRIM(доп_по)&amp;IF(год_доп_по+J64&gt;0,M66,"")))</f>
      </c>
      <c r="M66" s="476" t="str">
        <f>", "&amp;год_доп_по&amp;IF(E64="год окончания","г."," курс")</f>
        <v>, г.</v>
      </c>
      <c r="N66" s="480"/>
      <c r="O66" s="480"/>
      <c r="P66" s="507"/>
      <c r="Q66" s="480"/>
      <c r="R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</row>
    <row r="67" spans="1:57" ht="16.5" customHeight="1">
      <c r="A67" s="271"/>
      <c r="B67" s="642"/>
      <c r="C67" s="642"/>
      <c r="D67" s="642"/>
      <c r="E67" s="642"/>
      <c r="F67" s="642"/>
      <c r="G67" s="642"/>
      <c r="H67" s="642"/>
      <c r="I67" s="642"/>
      <c r="J67" s="643"/>
      <c r="K67" s="490" t="s">
        <v>508</v>
      </c>
      <c r="L67" s="491" t="s">
        <v>509</v>
      </c>
      <c r="M67" s="148"/>
      <c r="N67" s="492" t="s">
        <v>510</v>
      </c>
      <c r="O67" s="24"/>
      <c r="P67" s="507"/>
      <c r="R67" s="24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</row>
    <row r="68" spans="1:57" ht="12.75" customHeight="1">
      <c r="A68" s="271"/>
      <c r="B68" s="642"/>
      <c r="C68" s="642"/>
      <c r="D68" s="642"/>
      <c r="E68" s="642"/>
      <c r="F68" s="642"/>
      <c r="G68" s="642"/>
      <c r="H68" s="642"/>
      <c r="I68" s="642"/>
      <c r="J68" s="643"/>
      <c r="K68" s="493"/>
      <c r="L68" s="463" t="s">
        <v>511</v>
      </c>
      <c r="M68" s="148"/>
      <c r="N68" s="494"/>
      <c r="O68" s="24"/>
      <c r="P68" s="507"/>
      <c r="R68" s="24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</row>
    <row r="69" spans="1:57" ht="6" customHeight="1">
      <c r="A69" s="495"/>
      <c r="B69" s="21"/>
      <c r="C69" s="21"/>
      <c r="D69" s="21"/>
      <c r="E69" s="21"/>
      <c r="F69" s="21"/>
      <c r="G69" s="496"/>
      <c r="H69" s="496"/>
      <c r="I69" s="496"/>
      <c r="J69" s="497"/>
      <c r="K69" s="498"/>
      <c r="L69" s="463" t="s">
        <v>512</v>
      </c>
      <c r="M69" s="161"/>
      <c r="N69" s="491" t="s">
        <v>251</v>
      </c>
      <c r="O69" s="24"/>
      <c r="P69" s="507"/>
      <c r="R69" s="24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</row>
    <row r="70" spans="1:18" ht="13.5" hidden="1">
      <c r="A70" s="499"/>
      <c r="B70" s="242"/>
      <c r="C70" s="242"/>
      <c r="D70" s="242"/>
      <c r="E70" s="242"/>
      <c r="F70" s="242"/>
      <c r="G70" s="243"/>
      <c r="H70" s="500" t="str">
        <f>IF(A64="нет","нет","да")</f>
        <v>нет</v>
      </c>
      <c r="I70" s="244"/>
      <c r="J70" s="501"/>
      <c r="K70" s="493"/>
      <c r="L70" s="463" t="s">
        <v>513</v>
      </c>
      <c r="M70" s="161"/>
      <c r="N70" s="491" t="s">
        <v>514</v>
      </c>
      <c r="O70" s="24"/>
      <c r="P70" s="507"/>
      <c r="R70" s="24"/>
    </row>
    <row r="71" spans="1:20" ht="15">
      <c r="A71" s="644" t="s">
        <v>509</v>
      </c>
      <c r="B71" s="645"/>
      <c r="C71" s="645"/>
      <c r="D71" s="645"/>
      <c r="E71" s="645"/>
      <c r="F71" s="21"/>
      <c r="G71" s="502"/>
      <c r="H71" s="503" t="str">
        <f>IF(G71&gt;=D175,"да","нет")</f>
        <v>нет</v>
      </c>
      <c r="I71" s="504" t="s">
        <v>515</v>
      </c>
      <c r="J71" s="256"/>
      <c r="K71" s="172"/>
      <c r="L71" s="463" t="s">
        <v>516</v>
      </c>
      <c r="M71" s="161"/>
      <c r="N71" s="491" t="s">
        <v>505</v>
      </c>
      <c r="O71" s="24"/>
      <c r="P71" s="507"/>
      <c r="R71" s="24"/>
      <c r="T71" s="24"/>
    </row>
    <row r="72" spans="1:20" ht="10.5" customHeight="1">
      <c r="A72" s="505"/>
      <c r="B72" s="21"/>
      <c r="C72" s="21"/>
      <c r="D72" s="113"/>
      <c r="E72" s="113"/>
      <c r="F72" s="113"/>
      <c r="G72" s="21"/>
      <c r="H72" s="113"/>
      <c r="I72" s="113"/>
      <c r="J72" s="506"/>
      <c r="K72" s="172"/>
      <c r="L72" s="149"/>
      <c r="M72" s="148"/>
      <c r="N72" s="151"/>
      <c r="P72" s="507"/>
      <c r="T72" s="24"/>
    </row>
    <row r="73" spans="1:18" ht="13.5">
      <c r="A73" s="245" t="s">
        <v>358</v>
      </c>
      <c r="B73" s="113"/>
      <c r="C73" s="113"/>
      <c r="D73" s="113"/>
      <c r="E73" s="113"/>
      <c r="F73" s="21"/>
      <c r="G73" s="655" t="s">
        <v>251</v>
      </c>
      <c r="H73" s="655"/>
      <c r="I73" s="113"/>
      <c r="J73" s="506"/>
      <c r="K73" s="21"/>
      <c r="L73" s="161"/>
      <c r="M73" s="249"/>
      <c r="N73" s="24"/>
      <c r="O73" s="24"/>
      <c r="P73" s="507"/>
      <c r="Q73" s="24"/>
      <c r="R73" s="24"/>
    </row>
    <row r="74" spans="1:19" ht="15" customHeight="1">
      <c r="A74" s="659" t="s">
        <v>467</v>
      </c>
      <c r="B74" s="660"/>
      <c r="C74" s="660"/>
      <c r="D74" s="660"/>
      <c r="E74" s="660"/>
      <c r="F74" s="660"/>
      <c r="G74" s="655" t="s">
        <v>251</v>
      </c>
      <c r="H74" s="655"/>
      <c r="I74" s="113"/>
      <c r="J74" s="506"/>
      <c r="K74" s="21"/>
      <c r="L74" s="161"/>
      <c r="M74" s="251">
        <v>0</v>
      </c>
      <c r="N74" s="24"/>
      <c r="O74" s="24"/>
      <c r="P74" s="507"/>
      <c r="Q74" s="24"/>
      <c r="R74" s="24"/>
      <c r="S74" s="24"/>
    </row>
    <row r="75" spans="1:19" ht="4.5" customHeight="1">
      <c r="A75" s="659"/>
      <c r="B75" s="660"/>
      <c r="C75" s="660"/>
      <c r="D75" s="660"/>
      <c r="E75" s="660"/>
      <c r="F75" s="660"/>
      <c r="G75" s="113"/>
      <c r="H75" s="113"/>
      <c r="I75" s="113"/>
      <c r="J75" s="506"/>
      <c r="K75" s="21"/>
      <c r="L75" s="161"/>
      <c r="M75" s="251"/>
      <c r="N75" s="24"/>
      <c r="O75" s="24"/>
      <c r="P75" s="507"/>
      <c r="Q75" s="24"/>
      <c r="R75" s="24"/>
      <c r="S75" s="24"/>
    </row>
    <row r="76" spans="1:19" ht="2.25" customHeight="1">
      <c r="A76" s="245"/>
      <c r="B76" s="113"/>
      <c r="C76" s="113"/>
      <c r="D76" s="113"/>
      <c r="E76" s="113"/>
      <c r="F76" s="21"/>
      <c r="G76" s="113"/>
      <c r="H76" s="113"/>
      <c r="I76" s="56"/>
      <c r="J76" s="252"/>
      <c r="K76" s="21"/>
      <c r="L76" s="161"/>
      <c r="M76" s="249"/>
      <c r="N76" s="24"/>
      <c r="O76" s="24"/>
      <c r="P76" s="507"/>
      <c r="Q76" s="24"/>
      <c r="R76" s="24"/>
      <c r="S76" s="24"/>
    </row>
    <row r="77" spans="1:19" ht="13.5">
      <c r="A77" s="245" t="s">
        <v>289</v>
      </c>
      <c r="B77" s="113"/>
      <c r="C77" s="113"/>
      <c r="D77" s="113"/>
      <c r="E77" s="113"/>
      <c r="F77" s="21"/>
      <c r="G77" s="655" t="s">
        <v>251</v>
      </c>
      <c r="H77" s="655"/>
      <c r="I77" s="247"/>
      <c r="J77" s="252"/>
      <c r="K77" s="21"/>
      <c r="L77" s="161"/>
      <c r="M77" s="251">
        <v>0</v>
      </c>
      <c r="N77" s="24"/>
      <c r="O77" s="24"/>
      <c r="P77" s="507"/>
      <c r="Q77" s="24"/>
      <c r="R77" s="24"/>
      <c r="S77" s="24"/>
    </row>
    <row r="78" spans="1:19" ht="13.5">
      <c r="A78" s="245" t="s">
        <v>290</v>
      </c>
      <c r="B78" s="113"/>
      <c r="C78" s="113"/>
      <c r="D78" s="113"/>
      <c r="E78" s="113"/>
      <c r="F78" s="21"/>
      <c r="G78" s="655" t="s">
        <v>251</v>
      </c>
      <c r="H78" s="655"/>
      <c r="I78" s="247" t="s">
        <v>291</v>
      </c>
      <c r="J78" s="248"/>
      <c r="K78" s="21"/>
      <c r="L78" s="161"/>
      <c r="M78" s="251">
        <v>0</v>
      </c>
      <c r="N78" s="24"/>
      <c r="O78" s="24"/>
      <c r="P78" s="507"/>
      <c r="Q78" s="24"/>
      <c r="R78" s="24"/>
      <c r="S78" s="24"/>
    </row>
    <row r="79" spans="1:16" ht="13.5" hidden="1">
      <c r="A79" s="253" t="s">
        <v>292</v>
      </c>
      <c r="B79" s="254" t="s">
        <v>293</v>
      </c>
      <c r="C79" s="21"/>
      <c r="D79" s="21"/>
      <c r="E79" s="21"/>
      <c r="F79" s="255" t="str">
        <f>IF(COUNTIF(G70:H78,"да"),"нет","да")</f>
        <v>да</v>
      </c>
      <c r="G79" s="21"/>
      <c r="H79" s="21"/>
      <c r="I79" s="21"/>
      <c r="J79" s="256"/>
      <c r="K79" s="257"/>
      <c r="L79" s="161"/>
      <c r="M79" s="258"/>
      <c r="N79" s="21"/>
      <c r="P79" s="507"/>
    </row>
    <row r="80" spans="1:16" ht="12.75" hidden="1">
      <c r="A80" s="672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80" s="673"/>
      <c r="C80" s="673"/>
      <c r="D80" s="673"/>
      <c r="E80" s="673"/>
      <c r="F80" s="673"/>
      <c r="G80" s="673"/>
      <c r="H80" s="673"/>
      <c r="I80" s="673"/>
      <c r="J80" s="674"/>
      <c r="K80" s="257"/>
      <c r="L80" s="161"/>
      <c r="M80" s="258"/>
      <c r="N80" s="21"/>
      <c r="P80" s="507"/>
    </row>
    <row r="81" spans="1:16" ht="12.75" hidden="1">
      <c r="A81" s="672"/>
      <c r="B81" s="673"/>
      <c r="C81" s="673"/>
      <c r="D81" s="673"/>
      <c r="E81" s="673"/>
      <c r="F81" s="673"/>
      <c r="G81" s="673"/>
      <c r="H81" s="673"/>
      <c r="I81" s="673"/>
      <c r="J81" s="674"/>
      <c r="K81" s="257"/>
      <c r="L81" s="161"/>
      <c r="M81" s="258"/>
      <c r="N81" s="21"/>
      <c r="P81" s="507"/>
    </row>
    <row r="82" spans="1:16" s="172" customFormat="1" ht="6" customHeight="1">
      <c r="A82" s="245"/>
      <c r="B82" s="113"/>
      <c r="C82" s="113"/>
      <c r="D82" s="113"/>
      <c r="E82" s="113"/>
      <c r="F82" s="113"/>
      <c r="G82" s="113"/>
      <c r="H82" s="113"/>
      <c r="I82" s="56"/>
      <c r="J82" s="252"/>
      <c r="K82" s="259"/>
      <c r="L82" s="260"/>
      <c r="M82" s="261"/>
      <c r="N82" s="262"/>
      <c r="P82" s="507"/>
    </row>
    <row r="83" spans="1:19" ht="13.5">
      <c r="A83" s="658" t="s">
        <v>294</v>
      </c>
      <c r="B83" s="624"/>
      <c r="C83" s="624"/>
      <c r="D83" s="624"/>
      <c r="E83" s="624"/>
      <c r="F83" s="624"/>
      <c r="G83" s="624"/>
      <c r="H83" s="624"/>
      <c r="I83" s="624"/>
      <c r="J83" s="263"/>
      <c r="K83" s="259"/>
      <c r="L83" s="161"/>
      <c r="M83" s="261"/>
      <c r="N83" s="262"/>
      <c r="O83" s="172"/>
      <c r="P83" s="507"/>
      <c r="Q83" s="172"/>
      <c r="R83" s="172"/>
      <c r="S83" s="172"/>
    </row>
    <row r="84" spans="1:19" ht="5.25" customHeight="1">
      <c r="A84" s="264"/>
      <c r="B84" s="265"/>
      <c r="C84" s="265"/>
      <c r="D84" s="265"/>
      <c r="E84" s="265"/>
      <c r="F84" s="265"/>
      <c r="G84" s="265"/>
      <c r="H84" s="265"/>
      <c r="I84" s="265"/>
      <c r="J84" s="266"/>
      <c r="K84" s="259"/>
      <c r="L84" s="161"/>
      <c r="M84" s="261"/>
      <c r="N84" s="262"/>
      <c r="O84" s="172"/>
      <c r="P84" s="507"/>
      <c r="Q84" s="172"/>
      <c r="R84" s="172"/>
      <c r="S84" s="172"/>
    </row>
    <row r="85" spans="1:16" ht="15" customHeight="1">
      <c r="A85" s="659" t="s">
        <v>468</v>
      </c>
      <c r="B85" s="660"/>
      <c r="C85" s="660"/>
      <c r="D85" s="660"/>
      <c r="E85" s="660"/>
      <c r="F85" s="660"/>
      <c r="G85" s="660"/>
      <c r="H85" s="660"/>
      <c r="I85" s="21"/>
      <c r="J85" s="256"/>
      <c r="K85" s="267"/>
      <c r="M85" s="258"/>
      <c r="N85" s="21"/>
      <c r="P85" s="507"/>
    </row>
    <row r="86" spans="1:16" ht="15">
      <c r="A86" s="659"/>
      <c r="B86" s="660"/>
      <c r="C86" s="660"/>
      <c r="D86" s="660"/>
      <c r="E86" s="660"/>
      <c r="F86" s="660"/>
      <c r="G86" s="660"/>
      <c r="H86" s="660"/>
      <c r="I86" s="246" t="s">
        <v>251</v>
      </c>
      <c r="J86" s="268" t="str">
        <f>IF(OR(G73="да",G74="да"),"да",рек2)</f>
        <v>нет</v>
      </c>
      <c r="K86" s="257"/>
      <c r="L86" s="257"/>
      <c r="P86" s="507"/>
    </row>
    <row r="87" spans="1:16" ht="27" customHeight="1" hidden="1">
      <c r="A87" s="659"/>
      <c r="B87" s="660"/>
      <c r="C87" s="660"/>
      <c r="D87" s="660"/>
      <c r="E87" s="660"/>
      <c r="F87" s="660"/>
      <c r="G87" s="660"/>
      <c r="H87" s="660"/>
      <c r="I87" s="250"/>
      <c r="J87" s="269"/>
      <c r="K87" s="257"/>
      <c r="P87" s="507"/>
    </row>
    <row r="88" spans="1:16" ht="15" customHeight="1" hidden="1">
      <c r="A88" s="659" t="s">
        <v>469</v>
      </c>
      <c r="B88" s="660"/>
      <c r="C88" s="660"/>
      <c r="D88" s="660"/>
      <c r="E88" s="660"/>
      <c r="F88" s="660"/>
      <c r="G88" s="660"/>
      <c r="H88" s="660"/>
      <c r="I88" s="246" t="s">
        <v>251</v>
      </c>
      <c r="J88" s="256"/>
      <c r="K88" s="257"/>
      <c r="P88" s="507"/>
    </row>
    <row r="89" spans="1:16" ht="24.75" customHeight="1" hidden="1">
      <c r="A89" s="659"/>
      <c r="B89" s="660"/>
      <c r="C89" s="660"/>
      <c r="D89" s="660"/>
      <c r="E89" s="660"/>
      <c r="F89" s="660"/>
      <c r="G89" s="660"/>
      <c r="H89" s="660"/>
      <c r="I89" s="21"/>
      <c r="J89" s="256"/>
      <c r="K89" s="257"/>
      <c r="P89" s="507"/>
    </row>
    <row r="90" spans="1:16" ht="13.5" hidden="1">
      <c r="A90" s="253" t="s">
        <v>292</v>
      </c>
      <c r="B90" s="254" t="s">
        <v>295</v>
      </c>
      <c r="C90" s="21"/>
      <c r="D90" s="21"/>
      <c r="E90" s="21"/>
      <c r="F90" s="255" t="str">
        <f>IF(AND(J86="нет",рек3="нет"),"да","нет")</f>
        <v>да</v>
      </c>
      <c r="G90" s="21"/>
      <c r="H90" s="21"/>
      <c r="I90" s="21"/>
      <c r="J90" s="256"/>
      <c r="K90" s="257"/>
      <c r="L90" s="270"/>
      <c r="P90" s="507"/>
    </row>
    <row r="91" spans="1:16" ht="12.75" customHeight="1" hidden="1">
      <c r="A91" s="672" t="str">
        <f>IF(AND(J86="нет",рек3="нет"),_дпо,"")</f>
        <v>Получить  профессиональное (музыкальное) образование.</v>
      </c>
      <c r="B91" s="673"/>
      <c r="C91" s="673"/>
      <c r="D91" s="673"/>
      <c r="E91" s="673"/>
      <c r="F91" s="673"/>
      <c r="G91" s="673"/>
      <c r="H91" s="673"/>
      <c r="I91" s="673"/>
      <c r="J91" s="674"/>
      <c r="K91" s="257"/>
      <c r="L91" s="270"/>
      <c r="P91" s="507"/>
    </row>
    <row r="92" spans="1:16" ht="12.75" customHeight="1" hidden="1">
      <c r="A92" s="672">
        <f>IF(рек3="-",_рек3,"")</f>
      </c>
      <c r="B92" s="673"/>
      <c r="C92" s="673"/>
      <c r="D92" s="673"/>
      <c r="E92" s="673"/>
      <c r="F92" s="673"/>
      <c r="G92" s="673"/>
      <c r="H92" s="673"/>
      <c r="I92" s="673"/>
      <c r="J92" s="674"/>
      <c r="K92" s="257"/>
      <c r="L92" s="270"/>
      <c r="P92" s="507"/>
    </row>
    <row r="93" spans="1:16" ht="3" customHeight="1">
      <c r="A93" s="469"/>
      <c r="B93" s="470"/>
      <c r="C93" s="470"/>
      <c r="D93" s="470"/>
      <c r="E93" s="470"/>
      <c r="F93" s="470"/>
      <c r="G93" s="470"/>
      <c r="H93" s="470"/>
      <c r="I93" s="470"/>
      <c r="J93" s="471"/>
      <c r="K93" s="257"/>
      <c r="L93" s="270"/>
      <c r="P93" s="507"/>
    </row>
    <row r="94" spans="1:16" ht="13.5">
      <c r="A94" s="675" t="s">
        <v>156</v>
      </c>
      <c r="B94" s="624"/>
      <c r="C94" s="624"/>
      <c r="D94" s="624"/>
      <c r="E94" s="624"/>
      <c r="F94" s="624"/>
      <c r="G94" s="624"/>
      <c r="H94" s="624"/>
      <c r="I94" s="624"/>
      <c r="J94" s="241"/>
      <c r="P94" s="507"/>
    </row>
    <row r="95" spans="1:16" s="172" customFormat="1" ht="13.5">
      <c r="A95" s="272"/>
      <c r="B95" s="177"/>
      <c r="C95" s="177"/>
      <c r="D95" s="177"/>
      <c r="E95" s="177"/>
      <c r="F95" s="177"/>
      <c r="G95" s="177"/>
      <c r="H95" s="177"/>
      <c r="I95" s="177"/>
      <c r="J95" s="269"/>
      <c r="K95" s="180"/>
      <c r="L95" s="181"/>
      <c r="M95" s="182"/>
      <c r="P95" s="507"/>
    </row>
    <row r="96" spans="1:16" s="172" customFormat="1" ht="13.5">
      <c r="A96" s="273" t="s">
        <v>220</v>
      </c>
      <c r="B96" s="177"/>
      <c r="C96" s="177"/>
      <c r="D96" s="177"/>
      <c r="E96" s="177"/>
      <c r="F96" s="166">
        <v>1</v>
      </c>
      <c r="G96" s="177"/>
      <c r="H96" s="177"/>
      <c r="I96" s="177"/>
      <c r="J96" s="269"/>
      <c r="K96" s="180"/>
      <c r="L96" s="181"/>
      <c r="M96" s="182"/>
      <c r="P96" s="507"/>
    </row>
    <row r="97" spans="1:16" ht="13.5">
      <c r="A97" s="274"/>
      <c r="B97" s="24"/>
      <c r="C97" s="24"/>
      <c r="D97" s="24"/>
      <c r="E97" s="24"/>
      <c r="F97" s="24"/>
      <c r="G97" s="24"/>
      <c r="H97" s="24"/>
      <c r="I97" s="24"/>
      <c r="J97" s="275"/>
      <c r="P97" s="507"/>
    </row>
    <row r="98" spans="1:16" ht="13.5">
      <c r="A98" s="276" t="s">
        <v>143</v>
      </c>
      <c r="B98" s="24"/>
      <c r="C98" s="636" t="s">
        <v>579</v>
      </c>
      <c r="D98" s="636"/>
      <c r="E98" s="636"/>
      <c r="F98" s="636"/>
      <c r="G98" s="636"/>
      <c r="H98" s="636"/>
      <c r="I98" s="636"/>
      <c r="J98" s="275"/>
      <c r="K98" s="150" t="str">
        <f>IF(LEN(L98)&gt;40,M98,L98)</f>
        <v>Тяжелова Марина Евгеньевна</v>
      </c>
      <c r="L98" s="148" t="str">
        <f>PROPER(TRIM(C98))</f>
        <v>Тяжелова Марина Евгеньевна</v>
      </c>
      <c r="M98" s="151" t="str">
        <f>IF(L98="","",LEFT(L98,(FIND(" ",L98)+1))&amp;"."&amp;MID(L98,FIND(" ",L98,FIND(" ",L98)+1)+1,1)&amp;".")</f>
        <v>Тяжелова М.Е.</v>
      </c>
      <c r="P98" s="507"/>
    </row>
    <row r="99" spans="1:16" ht="16.5">
      <c r="A99" s="676" t="s">
        <v>479</v>
      </c>
      <c r="B99" s="24"/>
      <c r="C99" s="677" t="s">
        <v>148</v>
      </c>
      <c r="D99" s="677"/>
      <c r="E99" s="677"/>
      <c r="F99" s="677"/>
      <c r="G99" s="677"/>
      <c r="H99" s="677"/>
      <c r="I99" s="238"/>
      <c r="J99" s="275"/>
      <c r="K99" s="150"/>
      <c r="P99" s="507"/>
    </row>
    <row r="100" spans="1:16" ht="13.5">
      <c r="A100" s="676"/>
      <c r="B100" s="185" t="s">
        <v>217</v>
      </c>
      <c r="C100" s="636"/>
      <c r="D100" s="636"/>
      <c r="E100" s="636"/>
      <c r="F100" s="636"/>
      <c r="G100" s="636"/>
      <c r="H100" s="636"/>
      <c r="I100" s="636"/>
      <c r="J100" s="275"/>
      <c r="K100" s="150">
        <f>IF(LEN(L100)&gt;40,M100,L100)</f>
      </c>
      <c r="L100" s="148">
        <f>PROPER(TRIM(C100))</f>
      </c>
      <c r="M100" s="151">
        <f>IF(L100="","",LEFT(L100,(FIND(" ",L100)+1))&amp;"."&amp;MID(L100,FIND(" ",L100,FIND(" ",L100)+1)+1,1)&amp;".")</f>
      </c>
      <c r="P100" s="507"/>
    </row>
    <row r="101" spans="1:16" ht="16.5">
      <c r="A101" s="277"/>
      <c r="B101" s="185"/>
      <c r="C101" s="677" t="s">
        <v>148</v>
      </c>
      <c r="D101" s="677"/>
      <c r="E101" s="677"/>
      <c r="F101" s="677"/>
      <c r="G101" s="677"/>
      <c r="H101" s="677"/>
      <c r="I101" s="238"/>
      <c r="J101" s="275"/>
      <c r="P101" s="507"/>
    </row>
    <row r="102" spans="1:16" ht="13.5">
      <c r="A102" s="277"/>
      <c r="B102" s="185">
        <f>IF($F$96&gt;1,"2)","")</f>
      </c>
      <c r="C102" s="636"/>
      <c r="D102" s="636"/>
      <c r="E102" s="636"/>
      <c r="F102" s="636"/>
      <c r="G102" s="636"/>
      <c r="H102" s="636"/>
      <c r="I102" s="636"/>
      <c r="J102" s="275"/>
      <c r="K102" s="150">
        <f>IF(LEN(L102)&gt;40,M102,L102)</f>
      </c>
      <c r="L102" s="148">
        <f>PROPER(TRIM(C102))</f>
      </c>
      <c r="M102" s="151">
        <f>IF(L102="","",LEFT(L102,(FIND(" ",L102)+1))&amp;"."&amp;MID(L102,FIND(" ",L102,FIND(" ",L102)+1)+1,1)&amp;".")</f>
      </c>
      <c r="P102" s="507"/>
    </row>
    <row r="103" spans="1:16" ht="16.5">
      <c r="A103" s="277"/>
      <c r="B103" s="185"/>
      <c r="C103" s="677" t="s">
        <v>148</v>
      </c>
      <c r="D103" s="677"/>
      <c r="E103" s="677"/>
      <c r="F103" s="677"/>
      <c r="G103" s="677"/>
      <c r="H103" s="677"/>
      <c r="I103" s="238"/>
      <c r="J103" s="275"/>
      <c r="P103" s="507"/>
    </row>
    <row r="104" spans="1:16" ht="13.5" hidden="1">
      <c r="A104" s="278"/>
      <c r="B104" s="185">
        <f>IF($F$96&gt;2,"3)","")</f>
      </c>
      <c r="C104" s="636"/>
      <c r="D104" s="636"/>
      <c r="E104" s="636"/>
      <c r="F104" s="636"/>
      <c r="G104" s="636"/>
      <c r="H104" s="636"/>
      <c r="I104" s="636"/>
      <c r="J104" s="275"/>
      <c r="K104" s="150">
        <f>IF(LEN(L104)&gt;40,M104,L104)</f>
      </c>
      <c r="L104" s="148">
        <f>PROPER(TRIM(C104))</f>
      </c>
      <c r="M104" s="151">
        <f>IF(L104="","",LEFT(L104,(FIND(" ",L104)+1))&amp;"."&amp;MID(L104,FIND(" ",L104,FIND(" ",L104)+1)+1,1)&amp;".")</f>
      </c>
      <c r="P104" s="507"/>
    </row>
    <row r="105" spans="1:16" ht="16.5" hidden="1">
      <c r="A105" s="278"/>
      <c r="B105" s="104"/>
      <c r="C105" s="678" t="s">
        <v>148</v>
      </c>
      <c r="D105" s="678"/>
      <c r="E105" s="678"/>
      <c r="F105" s="678"/>
      <c r="G105" s="678"/>
      <c r="H105" s="678"/>
      <c r="I105" s="238"/>
      <c r="J105" s="275"/>
      <c r="P105" s="507"/>
    </row>
    <row r="106" spans="1:16" ht="12.75">
      <c r="A106" s="271"/>
      <c r="B106" s="21"/>
      <c r="C106" s="21"/>
      <c r="D106" s="21"/>
      <c r="E106" s="21"/>
      <c r="F106" s="21"/>
      <c r="G106" s="21"/>
      <c r="H106" s="21"/>
      <c r="I106" s="21"/>
      <c r="J106" s="256"/>
      <c r="P106" s="507"/>
    </row>
    <row r="107" spans="1:16" ht="15">
      <c r="A107" s="279" t="s">
        <v>154</v>
      </c>
      <c r="B107" s="97" t="s">
        <v>155</v>
      </c>
      <c r="C107" s="167">
        <v>1</v>
      </c>
      <c r="D107" s="89" t="s">
        <v>104</v>
      </c>
      <c r="E107" s="167" t="s">
        <v>500</v>
      </c>
      <c r="F107" s="98"/>
      <c r="G107" s="99">
        <v>20</v>
      </c>
      <c r="H107" s="168">
        <v>18</v>
      </c>
      <c r="I107" s="239" t="s">
        <v>105</v>
      </c>
      <c r="J107" s="280"/>
      <c r="P107" s="507"/>
    </row>
    <row r="108" spans="1:16" ht="12.75">
      <c r="A108" s="281"/>
      <c r="B108" s="282"/>
      <c r="C108" s="282"/>
      <c r="D108" s="282"/>
      <c r="E108" s="282"/>
      <c r="F108" s="282"/>
      <c r="G108" s="282"/>
      <c r="H108" s="282"/>
      <c r="I108" s="282"/>
      <c r="J108" s="283"/>
      <c r="P108" s="507"/>
    </row>
    <row r="109" spans="1:20" ht="13.5">
      <c r="A109" s="689">
        <f>IF(F110="","","Результат экспертизы:")</f>
      </c>
      <c r="B109" s="690"/>
      <c r="C109" s="690"/>
      <c r="D109" s="690"/>
      <c r="E109" s="690"/>
      <c r="F109" s="690"/>
      <c r="G109" s="690"/>
      <c r="H109" s="690"/>
      <c r="I109" s="690"/>
      <c r="J109" s="320"/>
      <c r="K109" s="262"/>
      <c r="L109" s="149"/>
      <c r="M109" s="148"/>
      <c r="N109" s="151"/>
      <c r="P109" s="507"/>
      <c r="R109" s="21"/>
      <c r="S109" s="21"/>
      <c r="T109" s="21"/>
    </row>
    <row r="110" spans="1:20" ht="27" customHeight="1">
      <c r="A110" s="365"/>
      <c r="B110" s="366"/>
      <c r="C110" s="366"/>
      <c r="D110" s="366"/>
      <c r="E110" s="367">
        <f>IF(F110="","","Всего набрано аттестуемым педагогическим работником  ")</f>
      </c>
      <c r="F110" s="368">
        <f>всего</f>
      </c>
      <c r="G110" s="369">
        <f>IF(F110="","","баллов.")</f>
      </c>
      <c r="H110" s="366"/>
      <c r="I110" s="369">
        <f>IF(F110="","","(мин. П-"&amp;ЭЗ!F415&amp;", В-"&amp;ЭЗ!F416&amp;")")</f>
      </c>
      <c r="J110" s="370"/>
      <c r="K110" s="262"/>
      <c r="L110" s="149"/>
      <c r="M110" s="148"/>
      <c r="N110" s="151"/>
      <c r="P110" s="507"/>
      <c r="R110" s="21"/>
      <c r="S110" s="21"/>
      <c r="T110" s="21"/>
    </row>
    <row r="111" spans="1:20" ht="3.75" customHeight="1">
      <c r="A111" s="365"/>
      <c r="B111" s="366"/>
      <c r="C111" s="366"/>
      <c r="D111" s="366"/>
      <c r="E111" s="371"/>
      <c r="F111" s="372"/>
      <c r="G111" s="366"/>
      <c r="H111" s="366"/>
      <c r="I111" s="366"/>
      <c r="J111" s="370"/>
      <c r="K111" s="262"/>
      <c r="L111" s="149"/>
      <c r="M111" s="148"/>
      <c r="N111" s="151"/>
      <c r="P111" s="507"/>
      <c r="R111" s="21"/>
      <c r="S111" s="21"/>
      <c r="T111" s="21"/>
    </row>
    <row r="112" spans="1:20" ht="32.25" customHeight="1">
      <c r="A112" s="691">
        <f>IF(F110="","",CONCATENATE("Уровень квалификации ",ЭЗ!E421,ЭЗ!G421," требованиям, предъявляемым к заявленной ",ЭЗ!E422," квалификационной категории. "))</f>
      </c>
      <c r="B112" s="692"/>
      <c r="C112" s="692"/>
      <c r="D112" s="692"/>
      <c r="E112" s="692"/>
      <c r="F112" s="692"/>
      <c r="G112" s="692"/>
      <c r="H112" s="692"/>
      <c r="I112" s="692"/>
      <c r="J112" s="693"/>
      <c r="K112" s="262"/>
      <c r="L112" s="149"/>
      <c r="M112" s="148"/>
      <c r="N112" s="151"/>
      <c r="P112" s="507"/>
      <c r="R112" s="21"/>
      <c r="S112" s="21"/>
      <c r="T112" s="21"/>
    </row>
    <row r="113" spans="1:20" ht="34.5" customHeight="1">
      <c r="A113" s="697">
        <f>IF(F110="","","Рекомендации: "&amp;ЭЗ!A447)</f>
      </c>
      <c r="B113" s="698"/>
      <c r="C113" s="698"/>
      <c r="D113" s="698"/>
      <c r="E113" s="698"/>
      <c r="F113" s="698"/>
      <c r="G113" s="698"/>
      <c r="H113" s="698"/>
      <c r="I113" s="698"/>
      <c r="J113" s="699"/>
      <c r="K113" s="262"/>
      <c r="L113" s="149"/>
      <c r="M113" s="148"/>
      <c r="N113" s="151"/>
      <c r="P113" s="507"/>
      <c r="R113" s="21"/>
      <c r="S113" s="21"/>
      <c r="T113" s="21"/>
    </row>
    <row r="114" spans="1:20" ht="3" customHeight="1">
      <c r="A114" s="421"/>
      <c r="B114" s="422"/>
      <c r="C114" s="422"/>
      <c r="D114" s="422"/>
      <c r="E114" s="422"/>
      <c r="F114" s="422"/>
      <c r="G114" s="422"/>
      <c r="H114" s="422"/>
      <c r="I114" s="422"/>
      <c r="J114" s="423"/>
      <c r="K114" s="262"/>
      <c r="L114" s="149"/>
      <c r="M114" s="148"/>
      <c r="N114" s="151"/>
      <c r="P114" s="507"/>
      <c r="R114" s="21"/>
      <c r="S114" s="21"/>
      <c r="T114" s="21"/>
    </row>
    <row r="115" spans="1:16" ht="15.75" customHeight="1">
      <c r="A115" s="685" t="str">
        <f>IF(ЭЗ!A466&lt;12,"Введите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86"/>
      <c r="C115" s="686"/>
      <c r="D115" s="686"/>
      <c r="E115" s="686"/>
      <c r="F115" s="686"/>
      <c r="G115" s="686"/>
      <c r="H115" s="686"/>
      <c r="I115" s="686"/>
      <c r="J115" s="687"/>
      <c r="P115" s="507"/>
    </row>
    <row r="116" spans="1:16" ht="12.75">
      <c r="A116" s="685"/>
      <c r="B116" s="686"/>
      <c r="C116" s="686"/>
      <c r="D116" s="686"/>
      <c r="E116" s="686"/>
      <c r="F116" s="686"/>
      <c r="G116" s="686"/>
      <c r="H116" s="686"/>
      <c r="I116" s="686"/>
      <c r="J116" s="687"/>
      <c r="P116" s="507"/>
    </row>
    <row r="117" spans="1:16" ht="12.75" hidden="1">
      <c r="A117" s="271"/>
      <c r="B117" s="313">
        <v>1</v>
      </c>
      <c r="C117" s="313">
        <v>2</v>
      </c>
      <c r="D117" s="313">
        <v>3</v>
      </c>
      <c r="E117" s="313">
        <v>4</v>
      </c>
      <c r="F117" s="313">
        <v>5</v>
      </c>
      <c r="G117" s="313">
        <v>6</v>
      </c>
      <c r="H117" s="313">
        <v>7</v>
      </c>
      <c r="I117" s="21"/>
      <c r="J117" s="256"/>
      <c r="P117" s="507"/>
    </row>
    <row r="118" spans="1:16" ht="15" hidden="1">
      <c r="A118" s="271">
        <v>1</v>
      </c>
      <c r="B118" s="596" t="s">
        <v>71</v>
      </c>
      <c r="C118" s="597" t="s">
        <v>80</v>
      </c>
      <c r="D118" s="598" t="s">
        <v>81</v>
      </c>
      <c r="E118" s="597" t="s">
        <v>89</v>
      </c>
      <c r="F118" s="596" t="s">
        <v>93</v>
      </c>
      <c r="G118" s="597" t="s">
        <v>99</v>
      </c>
      <c r="H118" s="599" t="s">
        <v>493</v>
      </c>
      <c r="I118" s="601"/>
      <c r="J118" s="602" t="s">
        <v>563</v>
      </c>
      <c r="P118" s="507"/>
    </row>
    <row r="119" spans="1:16" ht="15" hidden="1">
      <c r="A119" s="271">
        <v>2</v>
      </c>
      <c r="B119" s="596" t="s">
        <v>62</v>
      </c>
      <c r="C119" s="603" t="s">
        <v>559</v>
      </c>
      <c r="D119" s="598" t="s">
        <v>82</v>
      </c>
      <c r="E119" s="597" t="s">
        <v>88</v>
      </c>
      <c r="F119" s="596" t="s">
        <v>94</v>
      </c>
      <c r="G119" s="597" t="s">
        <v>98</v>
      </c>
      <c r="H119" s="599" t="s">
        <v>551</v>
      </c>
      <c r="I119" s="600"/>
      <c r="J119" s="600"/>
      <c r="P119" s="507"/>
    </row>
    <row r="120" spans="1:16" ht="15" hidden="1">
      <c r="A120" s="271">
        <v>3</v>
      </c>
      <c r="B120" s="596" t="s">
        <v>564</v>
      </c>
      <c r="C120" s="597" t="s">
        <v>79</v>
      </c>
      <c r="D120" s="598" t="s">
        <v>83</v>
      </c>
      <c r="E120" s="597" t="s">
        <v>565</v>
      </c>
      <c r="F120" s="596" t="s">
        <v>95</v>
      </c>
      <c r="G120" s="597" t="s">
        <v>100</v>
      </c>
      <c r="H120" s="599" t="s">
        <v>494</v>
      </c>
      <c r="I120" s="600"/>
      <c r="J120" s="600"/>
      <c r="P120" s="507"/>
    </row>
    <row r="121" spans="1:16" ht="15" hidden="1">
      <c r="A121" s="271">
        <v>4</v>
      </c>
      <c r="B121" s="596" t="s">
        <v>72</v>
      </c>
      <c r="C121" s="597" t="s">
        <v>78</v>
      </c>
      <c r="D121" s="598" t="s">
        <v>84</v>
      </c>
      <c r="E121" s="597" t="s">
        <v>90</v>
      </c>
      <c r="F121" s="596" t="s">
        <v>57</v>
      </c>
      <c r="G121" s="597" t="s">
        <v>101</v>
      </c>
      <c r="H121" s="604" t="s">
        <v>58</v>
      </c>
      <c r="I121" s="600"/>
      <c r="J121" s="600"/>
      <c r="P121" s="507"/>
    </row>
    <row r="122" spans="1:16" ht="15" hidden="1">
      <c r="A122" s="271">
        <v>5</v>
      </c>
      <c r="B122" s="599" t="s">
        <v>552</v>
      </c>
      <c r="C122" s="603" t="s">
        <v>553</v>
      </c>
      <c r="D122" s="598" t="s">
        <v>85</v>
      </c>
      <c r="E122" s="597" t="s">
        <v>91</v>
      </c>
      <c r="F122" s="599" t="s">
        <v>554</v>
      </c>
      <c r="G122" s="597" t="s">
        <v>102</v>
      </c>
      <c r="H122" s="599" t="s">
        <v>555</v>
      </c>
      <c r="I122" s="600"/>
      <c r="J122" s="600"/>
      <c r="P122" s="507"/>
    </row>
    <row r="123" spans="1:16" ht="15" hidden="1">
      <c r="A123" s="271">
        <v>6</v>
      </c>
      <c r="B123" s="596" t="s">
        <v>73</v>
      </c>
      <c r="C123" s="597" t="s">
        <v>77</v>
      </c>
      <c r="D123" s="598" t="s">
        <v>86</v>
      </c>
      <c r="E123" s="605" t="s">
        <v>495</v>
      </c>
      <c r="F123" s="596" t="s">
        <v>96</v>
      </c>
      <c r="G123" s="597" t="s">
        <v>103</v>
      </c>
      <c r="H123" s="606" t="s">
        <v>496</v>
      </c>
      <c r="I123" s="600"/>
      <c r="J123" s="600"/>
      <c r="P123" s="507"/>
    </row>
    <row r="124" spans="1:16" ht="15" hidden="1">
      <c r="A124" s="271">
        <v>7</v>
      </c>
      <c r="B124" s="596" t="s">
        <v>74</v>
      </c>
      <c r="C124" s="597" t="s">
        <v>59</v>
      </c>
      <c r="D124" s="607" t="s">
        <v>556</v>
      </c>
      <c r="E124" s="597" t="s">
        <v>66</v>
      </c>
      <c r="F124" s="596" t="s">
        <v>69</v>
      </c>
      <c r="G124" s="597" t="s">
        <v>68</v>
      </c>
      <c r="H124" s="606" t="s">
        <v>497</v>
      </c>
      <c r="I124" s="600"/>
      <c r="J124" s="600"/>
      <c r="P124" s="507"/>
    </row>
    <row r="125" spans="1:16" ht="15" hidden="1">
      <c r="A125" s="271">
        <v>8</v>
      </c>
      <c r="B125" s="596" t="s">
        <v>75</v>
      </c>
      <c r="C125" s="597" t="s">
        <v>60</v>
      </c>
      <c r="D125" s="598" t="s">
        <v>64</v>
      </c>
      <c r="E125" s="597" t="s">
        <v>67</v>
      </c>
      <c r="F125" s="596" t="s">
        <v>70</v>
      </c>
      <c r="G125" s="608" t="s">
        <v>560</v>
      </c>
      <c r="H125" s="606" t="s">
        <v>561</v>
      </c>
      <c r="I125" s="600"/>
      <c r="J125" s="600"/>
      <c r="P125" s="507"/>
    </row>
    <row r="126" spans="1:16" ht="15" hidden="1">
      <c r="A126" s="271">
        <v>9</v>
      </c>
      <c r="B126" s="596" t="s">
        <v>76</v>
      </c>
      <c r="C126" s="597" t="s">
        <v>566</v>
      </c>
      <c r="D126" s="598" t="s">
        <v>87</v>
      </c>
      <c r="E126" s="597" t="s">
        <v>92</v>
      </c>
      <c r="F126" s="596" t="s">
        <v>97</v>
      </c>
      <c r="G126" s="597"/>
      <c r="H126" s="596"/>
      <c r="I126" s="600"/>
      <c r="J126" s="600"/>
      <c r="P126" s="507"/>
    </row>
    <row r="127" spans="1:16" ht="15" hidden="1">
      <c r="A127" s="271">
        <v>10</v>
      </c>
      <c r="B127" s="609" t="s">
        <v>558</v>
      </c>
      <c r="C127" s="597" t="s">
        <v>61</v>
      </c>
      <c r="D127" s="607" t="s">
        <v>557</v>
      </c>
      <c r="E127" s="597" t="s">
        <v>567</v>
      </c>
      <c r="F127" s="600"/>
      <c r="G127" s="597"/>
      <c r="H127" s="600"/>
      <c r="I127" s="600"/>
      <c r="J127" s="600"/>
      <c r="P127" s="507"/>
    </row>
    <row r="128" spans="1:16" ht="15" hidden="1">
      <c r="A128" s="271">
        <v>11</v>
      </c>
      <c r="B128" s="596"/>
      <c r="C128" s="597" t="s">
        <v>63</v>
      </c>
      <c r="D128" s="600"/>
      <c r="E128" s="610"/>
      <c r="F128" s="600"/>
      <c r="G128" s="600"/>
      <c r="H128" s="600"/>
      <c r="I128" s="600"/>
      <c r="J128" s="600"/>
      <c r="P128" s="507"/>
    </row>
    <row r="129" spans="1:16" ht="15" hidden="1">
      <c r="A129" s="271">
        <v>12</v>
      </c>
      <c r="B129" s="611"/>
      <c r="C129" s="603" t="s">
        <v>65</v>
      </c>
      <c r="D129" s="600"/>
      <c r="E129" s="610"/>
      <c r="F129" s="600"/>
      <c r="G129" s="600"/>
      <c r="H129" s="600"/>
      <c r="I129" s="600"/>
      <c r="J129" s="600"/>
      <c r="P129" s="507"/>
    </row>
    <row r="130" spans="1:16" ht="15" hidden="1">
      <c r="A130" s="271">
        <v>13</v>
      </c>
      <c r="B130" s="611"/>
      <c r="C130" s="605" t="s">
        <v>499</v>
      </c>
      <c r="D130" s="600"/>
      <c r="E130" s="610"/>
      <c r="F130" s="600"/>
      <c r="G130" s="600"/>
      <c r="H130" s="600"/>
      <c r="I130" s="600"/>
      <c r="J130" s="600"/>
      <c r="P130" s="507"/>
    </row>
    <row r="131" spans="1:16" ht="15" hidden="1">
      <c r="A131" s="271"/>
      <c r="B131" s="611" t="s">
        <v>498</v>
      </c>
      <c r="C131" s="612" t="s">
        <v>498</v>
      </c>
      <c r="D131" s="612" t="s">
        <v>498</v>
      </c>
      <c r="E131" s="610" t="s">
        <v>498</v>
      </c>
      <c r="F131" s="612" t="s">
        <v>498</v>
      </c>
      <c r="G131" s="612" t="s">
        <v>498</v>
      </c>
      <c r="H131" s="612" t="s">
        <v>498</v>
      </c>
      <c r="I131" s="600"/>
      <c r="J131" s="600"/>
      <c r="P131" s="507"/>
    </row>
    <row r="132" spans="1:16" ht="12.75" hidden="1">
      <c r="A132" s="271"/>
      <c r="B132" s="21"/>
      <c r="C132" s="155"/>
      <c r="D132" s="155"/>
      <c r="E132" s="155"/>
      <c r="F132" s="21"/>
      <c r="G132" s="21"/>
      <c r="H132" s="21"/>
      <c r="I132" s="21"/>
      <c r="J132" s="256"/>
      <c r="P132" s="507"/>
    </row>
    <row r="133" spans="1:16" ht="5.25" customHeight="1">
      <c r="A133" s="271"/>
      <c r="B133" s="21"/>
      <c r="C133" s="155"/>
      <c r="D133" s="155"/>
      <c r="E133" s="155"/>
      <c r="F133" s="21"/>
      <c r="G133" s="21"/>
      <c r="H133" s="21"/>
      <c r="I133" s="21"/>
      <c r="J133" s="256"/>
      <c r="P133" s="507"/>
    </row>
    <row r="134" spans="1:16" s="195" customFormat="1" ht="23.25" customHeight="1">
      <c r="A134" s="681" t="s">
        <v>222</v>
      </c>
      <c r="B134" s="682"/>
      <c r="C134" s="682"/>
      <c r="D134" s="682"/>
      <c r="E134" s="682"/>
      <c r="F134" s="682"/>
      <c r="G134" s="682"/>
      <c r="H134" s="682"/>
      <c r="I134" s="682"/>
      <c r="J134" s="683"/>
      <c r="K134" s="192"/>
      <c r="L134" s="193"/>
      <c r="M134" s="194"/>
      <c r="P134" s="507"/>
    </row>
    <row r="135" spans="1:16" ht="42" customHeight="1" hidden="1">
      <c r="A135" s="314" t="s">
        <v>213</v>
      </c>
      <c r="B135" s="684" t="s">
        <v>215</v>
      </c>
      <c r="C135" s="684"/>
      <c r="D135" s="684" t="s">
        <v>212</v>
      </c>
      <c r="E135" s="684"/>
      <c r="F135" s="153"/>
      <c r="G135" s="153"/>
      <c r="H135" s="178" t="s">
        <v>209</v>
      </c>
      <c r="I135" s="315"/>
      <c r="J135" s="316"/>
      <c r="P135" s="507"/>
    </row>
    <row r="136" spans="1:16" ht="12.75" hidden="1">
      <c r="A136" s="317"/>
      <c r="B136" s="21"/>
      <c r="C136" s="155"/>
      <c r="D136" s="173"/>
      <c r="E136" s="173"/>
      <c r="F136" s="21"/>
      <c r="G136" s="21"/>
      <c r="H136" s="178"/>
      <c r="I136" s="315"/>
      <c r="J136" s="316"/>
      <c r="P136" s="507"/>
    </row>
    <row r="137" spans="1:16" ht="12.75" hidden="1">
      <c r="A137" s="318" t="s">
        <v>174</v>
      </c>
      <c r="B137" s="153"/>
      <c r="C137" s="154"/>
      <c r="D137" s="152" t="s">
        <v>177</v>
      </c>
      <c r="E137" s="152"/>
      <c r="F137" s="153"/>
      <c r="G137" s="153"/>
      <c r="H137" s="179">
        <f aca="true" t="shared" si="1" ref="H137:H142">LEN(D137)</f>
        <v>11</v>
      </c>
      <c r="I137" s="315"/>
      <c r="J137" s="316"/>
      <c r="P137" s="507"/>
    </row>
    <row r="138" spans="1:16" ht="12.75" hidden="1">
      <c r="A138" s="318" t="s">
        <v>189</v>
      </c>
      <c r="B138" s="153"/>
      <c r="C138" s="154"/>
      <c r="D138" s="152" t="s">
        <v>192</v>
      </c>
      <c r="E138" s="152"/>
      <c r="F138" s="153"/>
      <c r="G138" s="153"/>
      <c r="H138" s="179">
        <f t="shared" si="1"/>
        <v>15</v>
      </c>
      <c r="I138" s="315"/>
      <c r="J138" s="316"/>
      <c r="P138" s="507"/>
    </row>
    <row r="139" spans="1:16" ht="12.75" hidden="1">
      <c r="A139" s="318" t="s">
        <v>176</v>
      </c>
      <c r="B139" s="153"/>
      <c r="C139" s="154"/>
      <c r="D139" s="152" t="s">
        <v>178</v>
      </c>
      <c r="E139" s="152"/>
      <c r="F139" s="153"/>
      <c r="G139" s="153"/>
      <c r="H139" s="179">
        <f t="shared" si="1"/>
        <v>11</v>
      </c>
      <c r="I139" s="315"/>
      <c r="J139" s="316"/>
      <c r="P139" s="507"/>
    </row>
    <row r="140" spans="1:16" ht="12.75" hidden="1">
      <c r="A140" s="318" t="s">
        <v>195</v>
      </c>
      <c r="B140" s="153"/>
      <c r="C140" s="154"/>
      <c r="D140" s="152" t="s">
        <v>28</v>
      </c>
      <c r="E140" s="152"/>
      <c r="F140" s="153"/>
      <c r="G140" s="153"/>
      <c r="H140" s="179">
        <f t="shared" si="1"/>
        <v>20</v>
      </c>
      <c r="I140" s="315"/>
      <c r="J140" s="316"/>
      <c r="P140" s="507"/>
    </row>
    <row r="141" spans="1:16" ht="12.75" hidden="1">
      <c r="A141" s="318" t="s">
        <v>196</v>
      </c>
      <c r="B141" s="153"/>
      <c r="C141" s="154"/>
      <c r="D141" s="152" t="s">
        <v>29</v>
      </c>
      <c r="E141" s="152"/>
      <c r="F141" s="153"/>
      <c r="G141" s="153"/>
      <c r="H141" s="179">
        <f t="shared" si="1"/>
        <v>28</v>
      </c>
      <c r="I141" s="315"/>
      <c r="J141" s="316"/>
      <c r="P141" s="507"/>
    </row>
    <row r="142" spans="1:16" ht="12.75" hidden="1">
      <c r="A142" s="318" t="s">
        <v>26</v>
      </c>
      <c r="B142" s="153"/>
      <c r="C142" s="154"/>
      <c r="D142" s="152" t="s">
        <v>30</v>
      </c>
      <c r="E142" s="152"/>
      <c r="F142" s="153"/>
      <c r="G142" s="153"/>
      <c r="H142" s="179">
        <f t="shared" si="1"/>
        <v>29</v>
      </c>
      <c r="I142" s="315"/>
      <c r="J142" s="316"/>
      <c r="P142" s="507"/>
    </row>
    <row r="143" spans="1:16" ht="12.75" hidden="1">
      <c r="A143" s="318" t="s">
        <v>197</v>
      </c>
      <c r="B143" s="153"/>
      <c r="C143" s="154"/>
      <c r="D143" s="152" t="s">
        <v>31</v>
      </c>
      <c r="E143" s="152"/>
      <c r="F143" s="153"/>
      <c r="G143" s="153"/>
      <c r="H143" s="179">
        <f aca="true" t="shared" si="2" ref="H143:H169">LEN(D143)</f>
        <v>21</v>
      </c>
      <c r="I143" s="315"/>
      <c r="J143" s="316"/>
      <c r="P143" s="507"/>
    </row>
    <row r="144" spans="1:16" ht="12.75" hidden="1">
      <c r="A144" s="318" t="s">
        <v>198</v>
      </c>
      <c r="B144" s="153"/>
      <c r="C144" s="154"/>
      <c r="D144" s="152" t="s">
        <v>32</v>
      </c>
      <c r="E144" s="154"/>
      <c r="F144" s="153"/>
      <c r="G144" s="153"/>
      <c r="H144" s="179">
        <f t="shared" si="2"/>
        <v>15</v>
      </c>
      <c r="I144" s="315"/>
      <c r="J144" s="316"/>
      <c r="P144" s="507"/>
    </row>
    <row r="145" spans="1:16" ht="12.75" hidden="1">
      <c r="A145" s="318" t="s">
        <v>185</v>
      </c>
      <c r="B145" s="153"/>
      <c r="C145" s="154"/>
      <c r="D145" s="152" t="s">
        <v>186</v>
      </c>
      <c r="E145" s="154"/>
      <c r="F145" s="153"/>
      <c r="G145" s="153"/>
      <c r="H145" s="179">
        <f t="shared" si="2"/>
        <v>8</v>
      </c>
      <c r="I145" s="315"/>
      <c r="J145" s="316"/>
      <c r="P145" s="507"/>
    </row>
    <row r="146" spans="1:16" ht="12.75" hidden="1">
      <c r="A146" s="318" t="s">
        <v>27</v>
      </c>
      <c r="B146" s="153"/>
      <c r="C146" s="153"/>
      <c r="D146" s="152" t="s">
        <v>33</v>
      </c>
      <c r="E146" s="154"/>
      <c r="F146" s="153"/>
      <c r="G146" s="153"/>
      <c r="H146" s="179">
        <f t="shared" si="2"/>
        <v>13</v>
      </c>
      <c r="I146" s="315"/>
      <c r="J146" s="316"/>
      <c r="P146" s="507"/>
    </row>
    <row r="147" spans="1:16" ht="12.75" hidden="1">
      <c r="A147" s="318" t="s">
        <v>205</v>
      </c>
      <c r="B147" s="153"/>
      <c r="C147" s="153"/>
      <c r="D147" s="152" t="s">
        <v>34</v>
      </c>
      <c r="E147" s="154"/>
      <c r="F147" s="153"/>
      <c r="G147" s="153"/>
      <c r="H147" s="179">
        <f t="shared" si="2"/>
        <v>9</v>
      </c>
      <c r="I147" s="315"/>
      <c r="J147" s="316"/>
      <c r="P147" s="507"/>
    </row>
    <row r="148" spans="1:16" ht="12.75" hidden="1">
      <c r="A148" s="318" t="s">
        <v>199</v>
      </c>
      <c r="B148" s="153"/>
      <c r="C148" s="153"/>
      <c r="D148" s="152" t="s">
        <v>35</v>
      </c>
      <c r="E148" s="154"/>
      <c r="F148" s="153"/>
      <c r="G148" s="153"/>
      <c r="H148" s="179">
        <f t="shared" si="2"/>
        <v>25</v>
      </c>
      <c r="I148" s="315"/>
      <c r="J148" s="316"/>
      <c r="P148" s="507"/>
    </row>
    <row r="149" spans="1:16" ht="12.75" hidden="1">
      <c r="A149" s="318" t="s">
        <v>190</v>
      </c>
      <c r="B149" s="153"/>
      <c r="C149" s="153" t="s">
        <v>214</v>
      </c>
      <c r="D149" s="152" t="s">
        <v>191</v>
      </c>
      <c r="E149" s="154"/>
      <c r="F149" s="153"/>
      <c r="G149" s="153"/>
      <c r="H149" s="179">
        <f t="shared" si="2"/>
        <v>8</v>
      </c>
      <c r="I149" s="315"/>
      <c r="J149" s="316"/>
      <c r="P149" s="507"/>
    </row>
    <row r="150" spans="1:16" ht="12.75" hidden="1">
      <c r="A150" s="318" t="s">
        <v>200</v>
      </c>
      <c r="B150" s="153"/>
      <c r="C150" s="153"/>
      <c r="D150" s="152" t="s">
        <v>37</v>
      </c>
      <c r="E150" s="154"/>
      <c r="F150" s="153"/>
      <c r="G150" s="153"/>
      <c r="H150" s="179">
        <f t="shared" si="2"/>
        <v>25</v>
      </c>
      <c r="I150" s="315"/>
      <c r="J150" s="316"/>
      <c r="P150" s="507"/>
    </row>
    <row r="151" spans="1:16" ht="12.75" hidden="1">
      <c r="A151" s="318" t="s">
        <v>201</v>
      </c>
      <c r="B151" s="153"/>
      <c r="C151" s="153"/>
      <c r="D151" s="152" t="s">
        <v>36</v>
      </c>
      <c r="E151" s="154"/>
      <c r="F151" s="153"/>
      <c r="G151" s="153"/>
      <c r="H151" s="179">
        <f t="shared" si="2"/>
        <v>21</v>
      </c>
      <c r="I151" s="315"/>
      <c r="J151" s="316"/>
      <c r="P151" s="507"/>
    </row>
    <row r="152" spans="1:16" ht="12.75" hidden="1">
      <c r="A152" s="318" t="s">
        <v>202</v>
      </c>
      <c r="B152" s="153"/>
      <c r="C152" s="153"/>
      <c r="D152" s="152" t="s">
        <v>38</v>
      </c>
      <c r="E152" s="152"/>
      <c r="F152" s="153"/>
      <c r="G152" s="153"/>
      <c r="H152" s="179">
        <f t="shared" si="2"/>
        <v>18</v>
      </c>
      <c r="I152" s="315"/>
      <c r="J152" s="316"/>
      <c r="P152" s="507"/>
    </row>
    <row r="153" spans="1:16" ht="12.75" hidden="1">
      <c r="A153" s="318" t="s">
        <v>181</v>
      </c>
      <c r="B153" s="153"/>
      <c r="C153" s="153" t="s">
        <v>214</v>
      </c>
      <c r="D153" s="152" t="s">
        <v>182</v>
      </c>
      <c r="E153" s="154"/>
      <c r="F153" s="153"/>
      <c r="G153" s="153"/>
      <c r="H153" s="179">
        <f t="shared" si="2"/>
        <v>13</v>
      </c>
      <c r="I153" s="315"/>
      <c r="J153" s="316"/>
      <c r="P153" s="507"/>
    </row>
    <row r="154" spans="1:16" ht="12.75" hidden="1">
      <c r="A154" s="318" t="s">
        <v>210</v>
      </c>
      <c r="B154" s="153"/>
      <c r="C154" s="153" t="s">
        <v>214</v>
      </c>
      <c r="D154" s="152" t="s">
        <v>211</v>
      </c>
      <c r="E154" s="154"/>
      <c r="F154" s="153"/>
      <c r="G154" s="153"/>
      <c r="H154" s="179">
        <f t="shared" si="2"/>
        <v>27</v>
      </c>
      <c r="I154" s="315"/>
      <c r="J154" s="316"/>
      <c r="P154" s="507"/>
    </row>
    <row r="155" spans="1:16" ht="12.75" hidden="1">
      <c r="A155" s="318" t="s">
        <v>187</v>
      </c>
      <c r="B155" s="153"/>
      <c r="C155" s="153"/>
      <c r="D155" s="152" t="s">
        <v>188</v>
      </c>
      <c r="E155" s="154"/>
      <c r="F155" s="153"/>
      <c r="G155" s="153"/>
      <c r="H155" s="179">
        <f t="shared" si="2"/>
        <v>9</v>
      </c>
      <c r="I155" s="315"/>
      <c r="J155" s="316"/>
      <c r="P155" s="507"/>
    </row>
    <row r="156" spans="1:16" ht="12.75" hidden="1">
      <c r="A156" s="318" t="s">
        <v>193</v>
      </c>
      <c r="B156" s="153"/>
      <c r="C156" s="153"/>
      <c r="D156" s="152" t="s">
        <v>194</v>
      </c>
      <c r="E156" s="154"/>
      <c r="F156" s="153"/>
      <c r="G156" s="153"/>
      <c r="H156" s="179">
        <f t="shared" si="2"/>
        <v>28</v>
      </c>
      <c r="I156" s="315"/>
      <c r="J156" s="316"/>
      <c r="P156" s="507"/>
    </row>
    <row r="157" spans="1:16" ht="12.75" hidden="1">
      <c r="A157" s="318" t="s">
        <v>183</v>
      </c>
      <c r="B157" s="153"/>
      <c r="C157" s="153"/>
      <c r="D157" s="152" t="s">
        <v>184</v>
      </c>
      <c r="E157" s="154"/>
      <c r="F157" s="153"/>
      <c r="G157" s="153"/>
      <c r="H157" s="179">
        <f t="shared" si="2"/>
        <v>20</v>
      </c>
      <c r="I157" s="315"/>
      <c r="J157" s="316"/>
      <c r="P157" s="507"/>
    </row>
    <row r="158" spans="1:16" ht="12.75" hidden="1">
      <c r="A158" s="318" t="s">
        <v>175</v>
      </c>
      <c r="B158" s="153"/>
      <c r="C158" s="153"/>
      <c r="D158" s="152" t="s">
        <v>179</v>
      </c>
      <c r="E158" s="154"/>
      <c r="F158" s="153"/>
      <c r="G158" s="153"/>
      <c r="H158" s="179">
        <f t="shared" si="2"/>
        <v>20</v>
      </c>
      <c r="I158" s="315"/>
      <c r="J158" s="316"/>
      <c r="P158" s="507"/>
    </row>
    <row r="159" spans="1:16" ht="12.75" hidden="1">
      <c r="A159" s="318" t="s">
        <v>24</v>
      </c>
      <c r="B159" s="153"/>
      <c r="C159" s="153" t="s">
        <v>214</v>
      </c>
      <c r="D159" s="152" t="s">
        <v>39</v>
      </c>
      <c r="E159" s="154"/>
      <c r="F159" s="153"/>
      <c r="G159" s="153"/>
      <c r="H159" s="179">
        <f t="shared" si="2"/>
        <v>7</v>
      </c>
      <c r="I159" s="315"/>
      <c r="J159" s="316"/>
      <c r="P159" s="507"/>
    </row>
    <row r="160" spans="1:16" ht="12.75" hidden="1">
      <c r="A160" s="318" t="s">
        <v>203</v>
      </c>
      <c r="B160" s="153"/>
      <c r="C160" s="153" t="s">
        <v>214</v>
      </c>
      <c r="D160" s="152" t="s">
        <v>40</v>
      </c>
      <c r="E160" s="154"/>
      <c r="F160" s="153"/>
      <c r="G160" s="153"/>
      <c r="H160" s="179">
        <f t="shared" si="2"/>
        <v>21</v>
      </c>
      <c r="I160" s="315"/>
      <c r="J160" s="316"/>
      <c r="P160" s="507"/>
    </row>
    <row r="161" spans="1:16" ht="12.75" hidden="1">
      <c r="A161" s="318" t="s">
        <v>173</v>
      </c>
      <c r="B161" s="153"/>
      <c r="C161" s="153" t="s">
        <v>214</v>
      </c>
      <c r="D161" s="152" t="s">
        <v>180</v>
      </c>
      <c r="E161" s="154"/>
      <c r="F161" s="153"/>
      <c r="G161" s="153"/>
      <c r="H161" s="179">
        <f t="shared" si="2"/>
        <v>7</v>
      </c>
      <c r="I161" s="315"/>
      <c r="J161" s="316"/>
      <c r="P161" s="507"/>
    </row>
    <row r="162" spans="1:16" ht="12.75" hidden="1">
      <c r="A162" s="318" t="s">
        <v>25</v>
      </c>
      <c r="B162" s="153"/>
      <c r="C162" s="153"/>
      <c r="D162" s="152" t="s">
        <v>41</v>
      </c>
      <c r="E162" s="154"/>
      <c r="F162" s="153"/>
      <c r="G162" s="153"/>
      <c r="H162" s="179">
        <f t="shared" si="2"/>
        <v>19</v>
      </c>
      <c r="I162" s="315"/>
      <c r="J162" s="316"/>
      <c r="P162" s="507"/>
    </row>
    <row r="163" spans="1:16" ht="12.75" hidden="1">
      <c r="A163" s="318" t="s">
        <v>204</v>
      </c>
      <c r="B163" s="153"/>
      <c r="C163" s="153"/>
      <c r="D163" s="152" t="s">
        <v>42</v>
      </c>
      <c r="E163" s="154"/>
      <c r="F163" s="153"/>
      <c r="G163" s="153"/>
      <c r="H163" s="179">
        <f t="shared" si="2"/>
        <v>16</v>
      </c>
      <c r="I163" s="315"/>
      <c r="J163" s="316"/>
      <c r="P163" s="507"/>
    </row>
    <row r="164" spans="1:16" ht="12.75" hidden="1">
      <c r="A164" s="318" t="s">
        <v>410</v>
      </c>
      <c r="B164" s="153"/>
      <c r="C164" s="153"/>
      <c r="D164" s="152" t="s">
        <v>411</v>
      </c>
      <c r="E164" s="154"/>
      <c r="F164" s="153"/>
      <c r="G164" s="153"/>
      <c r="H164" s="179">
        <f t="shared" si="2"/>
        <v>11</v>
      </c>
      <c r="I164" s="315"/>
      <c r="J164" s="316"/>
      <c r="P164" s="507"/>
    </row>
    <row r="165" spans="1:16" ht="12.75" hidden="1">
      <c r="A165" s="318"/>
      <c r="B165" s="153"/>
      <c r="C165" s="153"/>
      <c r="D165" s="152"/>
      <c r="E165" s="154"/>
      <c r="F165" s="153"/>
      <c r="G165" s="153"/>
      <c r="H165" s="179">
        <f t="shared" si="2"/>
        <v>0</v>
      </c>
      <c r="I165" s="315"/>
      <c r="J165" s="316"/>
      <c r="P165" s="507"/>
    </row>
    <row r="166" spans="1:16" ht="12.75" hidden="1">
      <c r="A166" s="318"/>
      <c r="B166" s="153"/>
      <c r="C166" s="153"/>
      <c r="D166" s="152"/>
      <c r="E166" s="154"/>
      <c r="F166" s="153"/>
      <c r="G166" s="153"/>
      <c r="H166" s="179">
        <f t="shared" si="2"/>
        <v>0</v>
      </c>
      <c r="I166" s="315"/>
      <c r="J166" s="316"/>
      <c r="P166" s="507"/>
    </row>
    <row r="167" spans="1:16" ht="12.75" hidden="1">
      <c r="A167" s="318"/>
      <c r="B167" s="153"/>
      <c r="C167" s="153"/>
      <c r="D167" s="152"/>
      <c r="E167" s="154"/>
      <c r="F167" s="153"/>
      <c r="G167" s="153"/>
      <c r="H167" s="179">
        <f t="shared" si="2"/>
        <v>0</v>
      </c>
      <c r="I167" s="315"/>
      <c r="J167" s="316"/>
      <c r="P167" s="507"/>
    </row>
    <row r="168" spans="1:16" ht="12.75" hidden="1">
      <c r="A168" s="318"/>
      <c r="B168" s="153"/>
      <c r="C168" s="153"/>
      <c r="D168" s="152"/>
      <c r="E168" s="154"/>
      <c r="F168" s="153"/>
      <c r="G168" s="153"/>
      <c r="H168" s="179">
        <f t="shared" si="2"/>
        <v>0</v>
      </c>
      <c r="I168" s="315"/>
      <c r="J168" s="316"/>
      <c r="P168" s="507"/>
    </row>
    <row r="169" spans="1:16" ht="12.75" hidden="1">
      <c r="A169" s="319"/>
      <c r="B169" s="153"/>
      <c r="C169" s="153"/>
      <c r="D169" s="154"/>
      <c r="E169" s="153"/>
      <c r="F169" s="153"/>
      <c r="G169" s="153"/>
      <c r="H169" s="179">
        <f t="shared" si="2"/>
        <v>0</v>
      </c>
      <c r="I169" s="315"/>
      <c r="J169" s="316"/>
      <c r="P169" s="507"/>
    </row>
    <row r="170" spans="1:16" ht="12.75" hidden="1">
      <c r="A170" s="271"/>
      <c r="B170" s="21"/>
      <c r="C170" s="21"/>
      <c r="D170" s="21"/>
      <c r="E170" s="21"/>
      <c r="F170" s="21"/>
      <c r="G170" s="21"/>
      <c r="H170" s="21"/>
      <c r="I170" s="21"/>
      <c r="J170" s="256"/>
      <c r="P170" s="507"/>
    </row>
    <row r="171" spans="1:16" ht="6" customHeight="1">
      <c r="A171" s="271"/>
      <c r="B171" s="21"/>
      <c r="C171" s="21"/>
      <c r="D171" s="21"/>
      <c r="E171" s="21"/>
      <c r="F171" s="21"/>
      <c r="G171" s="21"/>
      <c r="H171" s="21"/>
      <c r="I171" s="21"/>
      <c r="J171" s="256"/>
      <c r="P171" s="507"/>
    </row>
    <row r="172" spans="1:16" s="195" customFormat="1" ht="28.5" customHeight="1">
      <c r="A172" s="681" t="s">
        <v>223</v>
      </c>
      <c r="B172" s="682"/>
      <c r="C172" s="682"/>
      <c r="D172" s="682"/>
      <c r="E172" s="682"/>
      <c r="F172" s="682"/>
      <c r="G172" s="682"/>
      <c r="H172" s="682"/>
      <c r="I172" s="682"/>
      <c r="J172" s="683"/>
      <c r="K172" s="240"/>
      <c r="L172" s="240"/>
      <c r="M172" s="240"/>
      <c r="N172" s="240"/>
      <c r="P172" s="507"/>
    </row>
    <row r="173" spans="1:16" ht="3" customHeight="1">
      <c r="A173" s="271"/>
      <c r="B173" s="21"/>
      <c r="C173" s="21"/>
      <c r="D173" s="21"/>
      <c r="E173" s="21"/>
      <c r="F173" s="21"/>
      <c r="G173" s="21"/>
      <c r="H173" s="21"/>
      <c r="I173" s="21"/>
      <c r="J173" s="256"/>
      <c r="K173" s="257"/>
      <c r="P173" s="507"/>
    </row>
    <row r="174" spans="1:16" ht="20.25" customHeight="1">
      <c r="A174" s="700" t="s">
        <v>296</v>
      </c>
      <c r="B174" s="701"/>
      <c r="C174" s="701"/>
      <c r="D174" s="701"/>
      <c r="E174" s="701"/>
      <c r="F174" s="701"/>
      <c r="G174" s="701"/>
      <c r="H174" s="701"/>
      <c r="I174" s="701"/>
      <c r="J174" s="256"/>
      <c r="K174" s="257"/>
      <c r="L174" s="148" t="s">
        <v>409</v>
      </c>
      <c r="P174" s="507"/>
    </row>
    <row r="175" spans="1:16" s="290" customFormat="1" ht="13.5" customHeight="1">
      <c r="A175" s="702" t="s">
        <v>297</v>
      </c>
      <c r="B175" s="703"/>
      <c r="C175" s="703"/>
      <c r="D175" s="285">
        <v>72</v>
      </c>
      <c r="E175" s="21" t="s">
        <v>298</v>
      </c>
      <c r="F175" s="286"/>
      <c r="G175" s="286"/>
      <c r="H175" s="286"/>
      <c r="I175" s="286"/>
      <c r="J175" s="287"/>
      <c r="K175" s="21"/>
      <c r="L175" s="288"/>
      <c r="M175" s="289"/>
      <c r="P175" s="507"/>
    </row>
    <row r="176" spans="1:16" s="290" customFormat="1" ht="12.75" customHeight="1">
      <c r="A176" s="704" t="str">
        <f>"В течение одного года пройти повышение квалификации  в объеме не менее "&amp;D175&amp;"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76" s="705"/>
      <c r="C176" s="705"/>
      <c r="D176" s="705"/>
      <c r="E176" s="705"/>
      <c r="F176" s="705"/>
      <c r="G176" s="705"/>
      <c r="H176" s="705"/>
      <c r="I176" s="706"/>
      <c r="J176" s="291"/>
      <c r="K176" s="292" t="s">
        <v>299</v>
      </c>
      <c r="L176" s="288"/>
      <c r="M176" s="289"/>
      <c r="P176" s="507"/>
    </row>
    <row r="177" spans="1:16" s="290" customFormat="1" ht="13.5" thickBot="1">
      <c r="A177" s="707"/>
      <c r="B177" s="708"/>
      <c r="C177" s="708"/>
      <c r="D177" s="708"/>
      <c r="E177" s="708"/>
      <c r="F177" s="708"/>
      <c r="G177" s="708"/>
      <c r="H177" s="708"/>
      <c r="I177" s="709"/>
      <c r="J177" s="291"/>
      <c r="K177" s="286"/>
      <c r="L177" s="293">
        <f>IF(AND(ЭЗ!F390=0,ЭЗ!F401=0,G397&lt;&gt;100,вывод1="да"),_72ч,"")</f>
      </c>
      <c r="M177" s="289"/>
      <c r="P177" s="507"/>
    </row>
    <row r="178" spans="1:16" s="290" customFormat="1" ht="13.5" thickBot="1">
      <c r="A178" s="294"/>
      <c r="B178" s="295"/>
      <c r="C178" s="295"/>
      <c r="D178" s="295"/>
      <c r="E178" s="295"/>
      <c r="F178" s="295"/>
      <c r="G178" s="295"/>
      <c r="H178" s="295"/>
      <c r="I178" s="295"/>
      <c r="J178" s="291"/>
      <c r="K178" s="296" t="s">
        <v>300</v>
      </c>
      <c r="L178" s="297" t="str">
        <f>IF(рек_общ="",рез_2&amp;рез_3,IF(рез_2="",рек_общ&amp;рез_3,рез_2&amp;рез_3))</f>
        <v>Получить  профессиональное (музыкальное) образование.</v>
      </c>
      <c r="P178" s="507"/>
    </row>
    <row r="179" spans="1:16" s="290" customFormat="1" ht="12.75">
      <c r="A179" s="679" t="s">
        <v>470</v>
      </c>
      <c r="B179" s="680"/>
      <c r="C179" s="680"/>
      <c r="D179" s="680"/>
      <c r="E179" s="680"/>
      <c r="F179" s="680"/>
      <c r="G179" s="680"/>
      <c r="H179" s="680"/>
      <c r="I179" s="680"/>
      <c r="J179" s="287"/>
      <c r="K179" s="298" t="s">
        <v>301</v>
      </c>
      <c r="L179" s="148" t="s">
        <v>302</v>
      </c>
      <c r="M179" s="289"/>
      <c r="P179" s="417"/>
    </row>
    <row r="180" spans="1:16" ht="25.5" customHeight="1">
      <c r="A180" s="669" t="s">
        <v>471</v>
      </c>
      <c r="B180" s="670"/>
      <c r="C180" s="670"/>
      <c r="D180" s="670"/>
      <c r="E180" s="670"/>
      <c r="F180" s="670"/>
      <c r="G180" s="670"/>
      <c r="H180" s="670"/>
      <c r="I180" s="671"/>
      <c r="J180" s="291"/>
      <c r="K180" s="259" t="str">
        <f>IF(рек2="нет",_дпо,"")</f>
        <v>Получить  профессиональное (музыкальное) образование.</v>
      </c>
      <c r="P180" s="417"/>
    </row>
    <row r="181" spans="1:16" ht="24" customHeight="1" hidden="1">
      <c r="A181" s="284" t="s">
        <v>304</v>
      </c>
      <c r="B181" s="295"/>
      <c r="C181" s="295"/>
      <c r="D181" s="295"/>
      <c r="E181" s="295"/>
      <c r="F181" s="295"/>
      <c r="G181" s="295"/>
      <c r="H181" s="295"/>
      <c r="I181" s="295"/>
      <c r="J181" s="256"/>
      <c r="K181" s="298" t="s">
        <v>303</v>
      </c>
      <c r="P181" s="417"/>
    </row>
    <row r="182" spans="1:16" ht="23.25" customHeight="1" hidden="1">
      <c r="A182" s="669" t="s">
        <v>304</v>
      </c>
      <c r="B182" s="670"/>
      <c r="C182" s="670"/>
      <c r="D182" s="670"/>
      <c r="E182" s="670"/>
      <c r="F182" s="670"/>
      <c r="G182" s="670"/>
      <c r="H182" s="670"/>
      <c r="I182" s="671"/>
      <c r="J182" s="291"/>
      <c r="K182" s="257"/>
      <c r="P182" s="417"/>
    </row>
    <row r="183" spans="1:16" ht="10.5" customHeight="1">
      <c r="A183" s="281"/>
      <c r="B183" s="282"/>
      <c r="C183" s="282"/>
      <c r="D183" s="282"/>
      <c r="E183" s="282"/>
      <c r="F183" s="282"/>
      <c r="G183" s="282"/>
      <c r="H183" s="282"/>
      <c r="I183" s="282"/>
      <c r="J183" s="283"/>
      <c r="K183" s="257"/>
      <c r="P183" s="417"/>
    </row>
    <row r="184" spans="1:16" ht="15" hidden="1">
      <c r="A184" s="271"/>
      <c r="B184" s="299"/>
      <c r="C184" s="21"/>
      <c r="D184" s="21"/>
      <c r="E184" s="21"/>
      <c r="F184" s="21"/>
      <c r="G184" s="21"/>
      <c r="H184" s="21"/>
      <c r="I184" s="21"/>
      <c r="J184" s="256"/>
      <c r="K184" s="257"/>
      <c r="P184" s="417"/>
    </row>
    <row r="185" spans="1:16" ht="12.75" hidden="1">
      <c r="A185" s="281"/>
      <c r="B185" s="282"/>
      <c r="C185" s="282"/>
      <c r="D185" s="282"/>
      <c r="E185" s="282"/>
      <c r="F185" s="282"/>
      <c r="G185" s="282"/>
      <c r="H185" s="282"/>
      <c r="I185" s="282"/>
      <c r="J185" s="283"/>
      <c r="K185" s="257"/>
      <c r="P185" s="417"/>
    </row>
    <row r="186" spans="1:16" s="21" customFormat="1" ht="49.5" customHeight="1">
      <c r="A186" s="710" t="s">
        <v>361</v>
      </c>
      <c r="B186" s="710"/>
      <c r="C186" s="710"/>
      <c r="D186" s="710"/>
      <c r="E186" s="710"/>
      <c r="F186" s="710"/>
      <c r="G186" s="710"/>
      <c r="H186" s="710"/>
      <c r="I186" s="710"/>
      <c r="J186" s="710"/>
      <c r="P186" s="417"/>
    </row>
    <row r="187" spans="1:16" ht="15">
      <c r="A187" s="694" t="s">
        <v>466</v>
      </c>
      <c r="B187" s="695"/>
      <c r="C187" s="695"/>
      <c r="D187" s="695"/>
      <c r="E187" s="695"/>
      <c r="F187" s="695"/>
      <c r="G187" s="695"/>
      <c r="H187" s="695"/>
      <c r="I187" s="695"/>
      <c r="J187" s="695"/>
      <c r="K187" s="257"/>
      <c r="P187" s="417"/>
    </row>
    <row r="188" spans="1:16" ht="15">
      <c r="A188" s="695" t="s">
        <v>362</v>
      </c>
      <c r="B188" s="695"/>
      <c r="C188" s="695"/>
      <c r="D188" s="695"/>
      <c r="E188" s="695"/>
      <c r="F188" s="695"/>
      <c r="G188" s="695"/>
      <c r="H188" s="695"/>
      <c r="I188" s="695"/>
      <c r="J188" s="695"/>
      <c r="K188" s="257"/>
      <c r="P188" s="417"/>
    </row>
    <row r="189" spans="1:16" ht="57" customHeight="1">
      <c r="A189" s="696" t="s">
        <v>465</v>
      </c>
      <c r="B189" s="696"/>
      <c r="C189" s="696"/>
      <c r="D189" s="696"/>
      <c r="E189" s="696"/>
      <c r="F189" s="696"/>
      <c r="G189" s="696"/>
      <c r="H189" s="696"/>
      <c r="I189" s="696"/>
      <c r="J189" s="696"/>
      <c r="K189" s="257"/>
      <c r="P189" s="417"/>
    </row>
  </sheetData>
  <sheetProtection password="CF28" sheet="1" objects="1" scenarios="1"/>
  <mergeCells count="80">
    <mergeCell ref="A187:J187"/>
    <mergeCell ref="A188:J188"/>
    <mergeCell ref="A189:J189"/>
    <mergeCell ref="A113:J113"/>
    <mergeCell ref="A174:I174"/>
    <mergeCell ref="A175:C175"/>
    <mergeCell ref="A176:I177"/>
    <mergeCell ref="B135:C135"/>
    <mergeCell ref="A186:J186"/>
    <mergeCell ref="A182:I182"/>
    <mergeCell ref="C33:I33"/>
    <mergeCell ref="A109:I109"/>
    <mergeCell ref="A112:J112"/>
    <mergeCell ref="C98:I98"/>
    <mergeCell ref="C99:H99"/>
    <mergeCell ref="C100:I100"/>
    <mergeCell ref="C101:H101"/>
    <mergeCell ref="C102:I102"/>
    <mergeCell ref="B58:D58"/>
    <mergeCell ref="C104:I104"/>
    <mergeCell ref="C105:H105"/>
    <mergeCell ref="A179:I179"/>
    <mergeCell ref="A172:J172"/>
    <mergeCell ref="D135:E135"/>
    <mergeCell ref="A134:J134"/>
    <mergeCell ref="A115:J116"/>
    <mergeCell ref="A180:I180"/>
    <mergeCell ref="A92:J92"/>
    <mergeCell ref="A94:I94"/>
    <mergeCell ref="A88:H89"/>
    <mergeCell ref="A99:A100"/>
    <mergeCell ref="A80:J81"/>
    <mergeCell ref="A83:I83"/>
    <mergeCell ref="A85:H87"/>
    <mergeCell ref="A91:J91"/>
    <mergeCell ref="C103:H103"/>
    <mergeCell ref="D41:E41"/>
    <mergeCell ref="B52:J53"/>
    <mergeCell ref="B54:D54"/>
    <mergeCell ref="A56:A57"/>
    <mergeCell ref="B56:J57"/>
    <mergeCell ref="A48:A49"/>
    <mergeCell ref="B48:J49"/>
    <mergeCell ref="B50:D50"/>
    <mergeCell ref="G77:H77"/>
    <mergeCell ref="G78:H78"/>
    <mergeCell ref="B4:C4"/>
    <mergeCell ref="A61:I61"/>
    <mergeCell ref="A74:F75"/>
    <mergeCell ref="G74:H74"/>
    <mergeCell ref="G73:H73"/>
    <mergeCell ref="A64:C64"/>
    <mergeCell ref="E64:G64"/>
    <mergeCell ref="F41:H41"/>
    <mergeCell ref="B66:J68"/>
    <mergeCell ref="A71:E71"/>
    <mergeCell ref="B45:E45"/>
    <mergeCell ref="C34:I34"/>
    <mergeCell ref="C36:I36"/>
    <mergeCell ref="D43:E43"/>
    <mergeCell ref="G43:H43"/>
    <mergeCell ref="A40:C40"/>
    <mergeCell ref="A52:A53"/>
    <mergeCell ref="A41:C41"/>
    <mergeCell ref="A1:J2"/>
    <mergeCell ref="A25:B25"/>
    <mergeCell ref="C25:I25"/>
    <mergeCell ref="A29:B29"/>
    <mergeCell ref="C29:I30"/>
    <mergeCell ref="H4:J7"/>
    <mergeCell ref="A3:J3"/>
    <mergeCell ref="A32:B32"/>
    <mergeCell ref="C32:H32"/>
    <mergeCell ref="H8:J11"/>
    <mergeCell ref="H12:J15"/>
    <mergeCell ref="A17:I17"/>
    <mergeCell ref="G27:I27"/>
    <mergeCell ref="A27:C27"/>
    <mergeCell ref="D27:F27"/>
    <mergeCell ref="A30:B30"/>
  </mergeCells>
  <conditionalFormatting sqref="A115 A1">
    <cfRule type="cellIs" priority="26" dxfId="33" operator="equal" stopIfTrue="1">
      <formula>"Все данные введены. Перейдите на лист ЭЗ"</formula>
    </cfRule>
  </conditionalFormatting>
  <conditionalFormatting sqref="B102:B103 I102:I103 C102:H102">
    <cfRule type="expression" priority="2" dxfId="34" stopIfTrue="1">
      <formula>$F$96&lt;2</formula>
    </cfRule>
  </conditionalFormatting>
  <conditionalFormatting sqref="B104:I105">
    <cfRule type="expression" priority="3" dxfId="34" stopIfTrue="1">
      <formula>$F$96&lt;3</formula>
    </cfRule>
  </conditionalFormatting>
  <conditionalFormatting sqref="A182:I182">
    <cfRule type="expression" priority="4" dxfId="17" stopIfTrue="1">
      <formula>$A$182=""</formula>
    </cfRule>
  </conditionalFormatting>
  <conditionalFormatting sqref="I86">
    <cfRule type="expression" priority="8" dxfId="35" stopIfTrue="1">
      <formula>OR($G$73="да",$G$74="да")</formula>
    </cfRule>
  </conditionalFormatting>
  <conditionalFormatting sqref="J86">
    <cfRule type="expression" priority="12" dxfId="36" stopIfTrue="1">
      <formula>AND($G$73="нет",$G$74="нет")</formula>
    </cfRule>
  </conditionalFormatting>
  <conditionalFormatting sqref="A112:J112">
    <cfRule type="expression" priority="41" dxfId="37" stopIfTrue="1">
      <formula>NOT(ISERROR(SEARCH("не соотв",A112)))</formula>
    </cfRule>
  </conditionalFormatting>
  <conditionalFormatting sqref="A112:J112">
    <cfRule type="expression" priority="42" dxfId="38" stopIfTrue="1">
      <formula>SEARCH("не соот",$A$113)</formula>
    </cfRule>
  </conditionalFormatting>
  <conditionalFormatting sqref="I78">
    <cfRule type="expression" priority="7" dxfId="34" stopIfTrue="1">
      <formula>$G$78="нет"</formula>
    </cfRule>
  </conditionalFormatting>
  <conditionalFormatting sqref="J78">
    <cfRule type="expression" priority="11" dxfId="36" stopIfTrue="1">
      <formula>$G$78="нет"</formula>
    </cfRule>
  </conditionalFormatting>
  <conditionalFormatting sqref="C33">
    <cfRule type="expression" priority="25" dxfId="39" stopIfTrue="1">
      <formula>"$A$23=""-"""</formula>
    </cfRule>
  </conditionalFormatting>
  <conditionalFormatting sqref="F43:J43">
    <cfRule type="expression" priority="58" dxfId="34" stopIfTrue="1">
      <formula>$D$41&lt;&gt;"нет"</formula>
    </cfRule>
  </conditionalFormatting>
  <conditionalFormatting sqref="K69">
    <cfRule type="expression" priority="59" dxfId="36" stopIfTrue="1">
      <formula>$G$77="нет"</formula>
    </cfRule>
  </conditionalFormatting>
  <conditionalFormatting sqref="H71">
    <cfRule type="expression" priority="60" dxfId="40" stopIfTrue="1">
      <formula>$G$71&gt;0</formula>
    </cfRule>
  </conditionalFormatting>
  <conditionalFormatting sqref="E64:J64">
    <cfRule type="expression" priority="61" dxfId="41" stopIfTrue="1">
      <formula>$A$64=$N$69</formula>
    </cfRule>
  </conditionalFormatting>
  <conditionalFormatting sqref="B66:J68">
    <cfRule type="expression" priority="62" dxfId="34" stopIfTrue="1">
      <formula>$A$64=$N$69</formula>
    </cfRule>
  </conditionalFormatting>
  <dataValidations count="43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рофессиональное (музыкальное)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J27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9:J30">
      <formula1>0</formula1>
      <formula2>180</formula2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2:H32">
      <formula1>"концертмейстер, хормейстер"</formula1>
    </dataValidation>
    <dataValidation errorStyle="information" type="textLength" allowBlank="1" showInputMessage="1" showErrorMessage="1" promptTitle="Специализация -не более 62 симв." prompt="Например, &#10;теоретических дисциплин(сольфеджио) &#10;или&#10;по классу &quot;фортепиано&quot;" errorTitle="Внимание!" error="Длина строки более 50 символов" sqref="C33:I33">
      <formula1>1</formula1>
      <formula2>62</formula2>
    </dataValidation>
    <dataValidation type="list" allowBlank="1" showInputMessage="1" showErrorMessage="1" promptTitle="Выберите из списка" prompt="воспользуйтесь кнопкой" sqref="G27:I27">
      <formula1>$E$4:$E$16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&#10;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&#10;" sqref="B52:J53">
      <formula1>150</formula1>
    </dataValidation>
    <dataValidation errorStyle="warning" type="list" showInputMessage="1" showErrorMessage="1" errorTitle="Внимание! нет в списке!" error="&#10;Вы уверены ?&#10;-----------------" sqref="B45:E45">
      <formula1>$L$45:$N$45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16:F16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" right="0.35433070866141736" top="0.5905511811023623" bottom="0.4724409448818898" header="0.31496062992125984" footer="0.5118110236220472"/>
  <pageSetup fitToHeight="1" fitToWidth="1" horizontalDpi="600" verticalDpi="600" orientation="portrait" paperSize="9" scale="69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5"/>
  <sheetViews>
    <sheetView showGridLines="0" showRowColHeaders="0" showOutlineSymbols="0" zoomScaleSheetLayoutView="100" workbookViewId="0" topLeftCell="A64">
      <selection activeCell="A34" sqref="A34:J34"/>
    </sheetView>
  </sheetViews>
  <sheetFormatPr defaultColWidth="9.125" defaultRowHeight="12.75"/>
  <cols>
    <col min="1" max="1" width="4.50390625" style="8" customWidth="1"/>
    <col min="2" max="2" width="10.875" style="109" customWidth="1"/>
    <col min="3" max="3" width="12.50390625" style="109" customWidth="1"/>
    <col min="4" max="4" width="10.50390625" style="110" customWidth="1"/>
    <col min="5" max="5" width="9.50390625" style="110" customWidth="1"/>
    <col min="6" max="9" width="10.375" style="110" customWidth="1"/>
    <col min="10" max="10" width="11.125" style="110" customWidth="1"/>
    <col min="11" max="11" width="0.5" style="3" customWidth="1"/>
    <col min="12" max="12" width="11.50390625" style="38" hidden="1" customWidth="1"/>
    <col min="13" max="13" width="5.625" style="38" hidden="1" customWidth="1"/>
    <col min="14" max="14" width="5.50390625" style="38" hidden="1" customWidth="1"/>
    <col min="15" max="15" width="21.875" style="138" hidden="1" customWidth="1"/>
    <col min="16" max="16" width="9.625" style="3" hidden="1" customWidth="1"/>
    <col min="17" max="17" width="2.875" style="3" hidden="1" customWidth="1"/>
    <col min="18" max="18" width="3.375" style="3" customWidth="1"/>
    <col min="19" max="19" width="13.00390625" style="3" customWidth="1"/>
    <col min="20" max="20" width="12.00390625" style="3" customWidth="1"/>
    <col min="21" max="16384" width="9.125" style="3" customWidth="1"/>
  </cols>
  <sheetData>
    <row r="1" spans="1:17" ht="15.75">
      <c r="A1" s="515"/>
      <c r="B1" s="749" t="s">
        <v>520</v>
      </c>
      <c r="C1" s="749"/>
      <c r="D1" s="749"/>
      <c r="E1" s="749"/>
      <c r="F1" s="749" t="s">
        <v>521</v>
      </c>
      <c r="G1" s="749"/>
      <c r="H1" s="749"/>
      <c r="I1" s="749"/>
      <c r="J1" s="340"/>
      <c r="K1" s="349" t="str">
        <f>Версия</f>
        <v> ЭЗ - 2018г</v>
      </c>
      <c r="L1" s="158"/>
      <c r="M1" s="159"/>
      <c r="N1" s="160"/>
      <c r="O1" s="160" t="s">
        <v>43</v>
      </c>
      <c r="P1" s="145" t="s">
        <v>44</v>
      </c>
      <c r="Q1" s="349"/>
    </row>
    <row r="2" spans="9:17" ht="10.5" customHeight="1" hidden="1">
      <c r="I2" s="11"/>
      <c r="J2" s="340"/>
      <c r="K2" s="349"/>
      <c r="L2" s="358" t="str">
        <f>'общие сведения'!A137</f>
        <v>воспитатель</v>
      </c>
      <c r="M2" s="358"/>
      <c r="N2" s="358" t="str">
        <f>'общие сведения'!D137</f>
        <v>воспитателя</v>
      </c>
      <c r="O2" s="152"/>
      <c r="P2" s="42">
        <f>LEN(N2)</f>
        <v>11</v>
      </c>
      <c r="Q2" s="349"/>
    </row>
    <row r="3" spans="9:17" ht="10.5" customHeight="1" hidden="1">
      <c r="I3" s="11"/>
      <c r="J3" s="340"/>
      <c r="K3" s="349"/>
      <c r="L3" s="358" t="str">
        <f>'общие сведения'!A138</f>
        <v>воспитатель группы продленного дня</v>
      </c>
      <c r="M3" s="358"/>
      <c r="N3" s="358" t="str">
        <f>'общие сведения'!D138</f>
        <v>воспитателя ГПД</v>
      </c>
      <c r="O3" s="152"/>
      <c r="P3" s="42">
        <f aca="true" t="shared" si="0" ref="P3:P29">LEN(N3)</f>
        <v>15</v>
      </c>
      <c r="Q3" s="349"/>
    </row>
    <row r="4" spans="9:17" ht="10.5" customHeight="1" hidden="1">
      <c r="I4" s="11"/>
      <c r="J4" s="340"/>
      <c r="K4" s="349"/>
      <c r="L4" s="358" t="str">
        <f>'общие сведения'!A139</f>
        <v>дефектолог</v>
      </c>
      <c r="M4" s="358"/>
      <c r="N4" s="358" t="str">
        <f>'общие сведения'!D139</f>
        <v>дефектолога</v>
      </c>
      <c r="O4" s="152"/>
      <c r="P4" s="42">
        <f t="shared" si="0"/>
        <v>11</v>
      </c>
      <c r="Q4" s="349"/>
    </row>
    <row r="5" spans="9:17" ht="10.5" customHeight="1" hidden="1">
      <c r="I5" s="11"/>
      <c r="J5" s="340"/>
      <c r="K5" s="349"/>
      <c r="L5" s="358" t="str">
        <f>'общие сведения'!A140</f>
        <v>инструктор по труду</v>
      </c>
      <c r="M5" s="358"/>
      <c r="N5" s="358" t="str">
        <f>'общие сведения'!D140</f>
        <v>инструктора по труду</v>
      </c>
      <c r="O5" s="152"/>
      <c r="P5" s="42">
        <f t="shared" si="0"/>
        <v>20</v>
      </c>
      <c r="Q5" s="349"/>
    </row>
    <row r="6" spans="9:17" ht="10.5" customHeight="1" hidden="1">
      <c r="I6" s="11"/>
      <c r="J6" s="340"/>
      <c r="K6" s="349"/>
      <c r="L6" s="358" t="str">
        <f>'общие сведения'!A141</f>
        <v>инструктор по физической культуре</v>
      </c>
      <c r="M6" s="358"/>
      <c r="N6" s="358" t="str">
        <f>'общие сведения'!D141</f>
        <v>инструктора по физ. культуре</v>
      </c>
      <c r="O6" s="152"/>
      <c r="P6" s="42">
        <f t="shared" si="0"/>
        <v>28</v>
      </c>
      <c r="Q6" s="349"/>
    </row>
    <row r="7" spans="9:17" ht="10.5" customHeight="1" hidden="1">
      <c r="I7" s="11"/>
      <c r="J7" s="340"/>
      <c r="K7" s="349"/>
      <c r="L7" s="358" t="str">
        <f>'общие сведения'!A142</f>
        <v>инструктор по физическому воспитанию</v>
      </c>
      <c r="M7" s="358"/>
      <c r="N7" s="358" t="str">
        <f>'общие сведения'!D142</f>
        <v>инструктора по физ.воспитанию</v>
      </c>
      <c r="O7" s="152"/>
      <c r="P7" s="42">
        <f t="shared" si="0"/>
        <v>29</v>
      </c>
      <c r="Q7" s="349"/>
    </row>
    <row r="8" spans="9:17" ht="10.5" customHeight="1" hidden="1">
      <c r="I8" s="11"/>
      <c r="J8" s="340"/>
      <c r="K8" s="349"/>
      <c r="L8" s="358" t="str">
        <f>'общие сведения'!A143</f>
        <v>инструктор-методист</v>
      </c>
      <c r="M8" s="358"/>
      <c r="N8" s="358" t="str">
        <f>'общие сведения'!D143</f>
        <v>инструктора-методиста</v>
      </c>
      <c r="O8" s="152"/>
      <c r="P8" s="42">
        <f t="shared" si="0"/>
        <v>21</v>
      </c>
      <c r="Q8" s="349"/>
    </row>
    <row r="9" spans="9:17" ht="10.5" customHeight="1" hidden="1">
      <c r="I9" s="11"/>
      <c r="J9" s="340"/>
      <c r="K9" s="349"/>
      <c r="L9" s="358" t="str">
        <f>'общие сведения'!A144</f>
        <v>концертмейстер</v>
      </c>
      <c r="M9" s="358"/>
      <c r="N9" s="358" t="str">
        <f>'общие сведения'!D144</f>
        <v>концертмейстера</v>
      </c>
      <c r="O9" s="152"/>
      <c r="P9" s="42">
        <f t="shared" si="0"/>
        <v>15</v>
      </c>
      <c r="Q9" s="349"/>
    </row>
    <row r="10" spans="9:17" ht="10.5" customHeight="1" hidden="1">
      <c r="I10" s="11"/>
      <c r="J10" s="340"/>
      <c r="K10" s="349"/>
      <c r="L10" s="358" t="str">
        <f>'общие сведения'!A145</f>
        <v>логопед</v>
      </c>
      <c r="M10" s="358"/>
      <c r="N10" s="358" t="str">
        <f>'общие сведения'!D145</f>
        <v>логопеда</v>
      </c>
      <c r="O10" s="152"/>
      <c r="P10" s="42">
        <f t="shared" si="0"/>
        <v>8</v>
      </c>
      <c r="Q10" s="349"/>
    </row>
    <row r="11" spans="9:17" ht="10.5" customHeight="1" hidden="1">
      <c r="I11" s="11"/>
      <c r="J11" s="340"/>
      <c r="K11" s="349"/>
      <c r="L11" s="358" t="str">
        <f>'общие сведения'!A146</f>
        <v>мастер производственного обучения</v>
      </c>
      <c r="M11" s="358"/>
      <c r="N11" s="358" t="str">
        <f>'общие сведения'!D146</f>
        <v>мастера п./о.</v>
      </c>
      <c r="O11" s="152"/>
      <c r="P11" s="42">
        <f t="shared" si="0"/>
        <v>13</v>
      </c>
      <c r="Q11" s="349"/>
    </row>
    <row r="12" spans="9:17" ht="10.5" customHeight="1" hidden="1">
      <c r="I12" s="11"/>
      <c r="J12" s="340"/>
      <c r="K12" s="349"/>
      <c r="L12" s="358" t="str">
        <f>'общие сведения'!A147</f>
        <v>методист</v>
      </c>
      <c r="M12" s="358"/>
      <c r="N12" s="358" t="str">
        <f>'общие сведения'!D147</f>
        <v>методиста</v>
      </c>
      <c r="O12" s="152"/>
      <c r="P12" s="42"/>
      <c r="Q12" s="349"/>
    </row>
    <row r="13" spans="9:17" ht="10.5" customHeight="1" hidden="1">
      <c r="I13" s="11"/>
      <c r="J13" s="340"/>
      <c r="K13" s="349"/>
      <c r="L13" s="358" t="str">
        <f>'общие сведения'!A148</f>
        <v>музыкальный руководитель</v>
      </c>
      <c r="M13" s="358"/>
      <c r="N13" s="358" t="str">
        <f>'общие сведения'!D148</f>
        <v>музыкального руководителя</v>
      </c>
      <c r="O13" s="152"/>
      <c r="P13" s="42">
        <f t="shared" si="0"/>
        <v>25</v>
      </c>
      <c r="Q13" s="349"/>
    </row>
    <row r="14" spans="9:17" ht="10.5" customHeight="1" hidden="1">
      <c r="I14" s="11"/>
      <c r="J14" s="340"/>
      <c r="K14" s="349"/>
      <c r="L14" s="358" t="str">
        <f>'общие сведения'!A149</f>
        <v>педагог</v>
      </c>
      <c r="M14" s="358"/>
      <c r="N14" s="358" t="str">
        <f>'общие сведения'!D149</f>
        <v>педагога</v>
      </c>
      <c r="O14" s="152"/>
      <c r="P14" s="42">
        <f t="shared" si="0"/>
        <v>8</v>
      </c>
      <c r="Q14" s="349"/>
    </row>
    <row r="15" spans="9:17" ht="10.5" customHeight="1" hidden="1">
      <c r="I15" s="11"/>
      <c r="J15" s="340"/>
      <c r="K15" s="349"/>
      <c r="L15" s="358" t="str">
        <f>'общие сведения'!A150</f>
        <v>педагог дополнительного образования</v>
      </c>
      <c r="M15" s="358"/>
      <c r="N15" s="358" t="str">
        <f>'общие сведения'!D150</f>
        <v>педагога доп. образования</v>
      </c>
      <c r="O15" s="152"/>
      <c r="P15" s="42">
        <f t="shared" si="0"/>
        <v>25</v>
      </c>
      <c r="Q15" s="349"/>
    </row>
    <row r="16" spans="9:17" ht="10.5" customHeight="1" hidden="1">
      <c r="I16" s="11"/>
      <c r="J16" s="340"/>
      <c r="K16" s="349"/>
      <c r="L16" s="358" t="str">
        <f>'общие сведения'!A151</f>
        <v>педагог-организатор</v>
      </c>
      <c r="M16" s="358"/>
      <c r="N16" s="358" t="str">
        <f>'общие сведения'!D151</f>
        <v>педагога-организатора</v>
      </c>
      <c r="O16" s="152"/>
      <c r="P16" s="42">
        <f t="shared" si="0"/>
        <v>21</v>
      </c>
      <c r="Q16" s="349"/>
    </row>
    <row r="17" spans="9:17" ht="10.5" customHeight="1" hidden="1">
      <c r="I17" s="11"/>
      <c r="J17" s="340"/>
      <c r="K17" s="349"/>
      <c r="L17" s="358" t="str">
        <f>'общие сведения'!A152</f>
        <v>педагог-психолог</v>
      </c>
      <c r="M17" s="358"/>
      <c r="N17" s="358" t="str">
        <f>'общие сведения'!D152</f>
        <v>педагога-психолога</v>
      </c>
      <c r="O17" s="152"/>
      <c r="P17" s="42">
        <f t="shared" si="0"/>
        <v>18</v>
      </c>
      <c r="Q17" s="349"/>
    </row>
    <row r="18" spans="9:17" ht="10.5" customHeight="1" hidden="1">
      <c r="I18" s="11"/>
      <c r="J18" s="340"/>
      <c r="K18" s="349"/>
      <c r="L18" s="358" t="str">
        <f>'общие сведения'!A153</f>
        <v>преподаватель</v>
      </c>
      <c r="M18" s="358"/>
      <c r="N18" s="358" t="str">
        <f>'общие сведения'!D153</f>
        <v>преподавателя</v>
      </c>
      <c r="O18" s="152"/>
      <c r="P18" s="42">
        <f t="shared" si="0"/>
        <v>13</v>
      </c>
      <c r="Q18" s="349"/>
    </row>
    <row r="19" spans="9:17" ht="10.5" customHeight="1" hidden="1">
      <c r="I19" s="11"/>
      <c r="J19" s="340"/>
      <c r="K19" s="349"/>
      <c r="L19" s="358" t="str">
        <f>'общие сведения'!A154</f>
        <v>преподаватель-организатор </v>
      </c>
      <c r="M19" s="358"/>
      <c r="N19" s="358" t="str">
        <f>'общие сведения'!D154</f>
        <v>преподавателя-организатора </v>
      </c>
      <c r="O19" s="152"/>
      <c r="P19" s="42">
        <f t="shared" si="0"/>
        <v>27</v>
      </c>
      <c r="Q19" s="349"/>
    </row>
    <row r="20" spans="9:17" ht="10.5" customHeight="1" hidden="1">
      <c r="I20" s="11"/>
      <c r="J20" s="340"/>
      <c r="K20" s="349"/>
      <c r="L20" s="358" t="str">
        <f>'общие сведения'!A155</f>
        <v>психолог</v>
      </c>
      <c r="M20" s="358"/>
      <c r="N20" s="358" t="str">
        <f>'общие сведения'!D155</f>
        <v>психолога</v>
      </c>
      <c r="O20" s="152"/>
      <c r="P20" s="42">
        <f t="shared" si="0"/>
        <v>9</v>
      </c>
      <c r="Q20" s="349"/>
    </row>
    <row r="21" spans="9:17" ht="10.5" customHeight="1" hidden="1">
      <c r="I21" s="11"/>
      <c r="J21" s="340"/>
      <c r="K21" s="349"/>
      <c r="L21" s="358" t="str">
        <f>'общие сведения'!A156</f>
        <v>руководитель физ.воспитания</v>
      </c>
      <c r="M21" s="358"/>
      <c r="N21" s="358" t="str">
        <f>'общие сведения'!D156</f>
        <v>руководителя физ. воспитания</v>
      </c>
      <c r="O21" s="152"/>
      <c r="P21" s="42">
        <f t="shared" si="0"/>
        <v>28</v>
      </c>
      <c r="Q21" s="349"/>
    </row>
    <row r="22" spans="9:17" ht="10.5" customHeight="1" hidden="1">
      <c r="I22" s="11"/>
      <c r="J22" s="340"/>
      <c r="K22" s="349"/>
      <c r="L22" s="358" t="str">
        <f>'общие сведения'!A157</f>
        <v>социальный педагог</v>
      </c>
      <c r="M22" s="358"/>
      <c r="N22" s="358" t="str">
        <f>'общие сведения'!D157</f>
        <v>социального педагога</v>
      </c>
      <c r="O22" s="152"/>
      <c r="P22" s="42">
        <f t="shared" si="0"/>
        <v>20</v>
      </c>
      <c r="Q22" s="349"/>
    </row>
    <row r="23" spans="9:17" ht="10.5" customHeight="1" hidden="1">
      <c r="I23" s="11"/>
      <c r="J23" s="340"/>
      <c r="K23" s="349"/>
      <c r="L23" s="358" t="str">
        <f>'общие сведения'!A158</f>
        <v>старший воспитатель</v>
      </c>
      <c r="M23" s="358"/>
      <c r="N23" s="358" t="str">
        <f>'общие сведения'!D158</f>
        <v>старшего воспитателя</v>
      </c>
      <c r="O23" s="152"/>
      <c r="P23" s="42">
        <f t="shared" si="0"/>
        <v>20</v>
      </c>
      <c r="Q23" s="349"/>
    </row>
    <row r="24" spans="9:17" ht="10.5" customHeight="1" hidden="1">
      <c r="I24" s="11"/>
      <c r="J24" s="340"/>
      <c r="K24" s="349"/>
      <c r="L24" s="358" t="str">
        <f>'общие сведения'!A159</f>
        <v>тренер</v>
      </c>
      <c r="M24" s="358"/>
      <c r="N24" s="358" t="str">
        <f>'общие сведения'!D159</f>
        <v>тренера</v>
      </c>
      <c r="O24" s="152"/>
      <c r="P24" s="42">
        <f t="shared" si="0"/>
        <v>7</v>
      </c>
      <c r="Q24" s="349"/>
    </row>
    <row r="25" spans="9:17" ht="10.5" customHeight="1" hidden="1">
      <c r="I25" s="11"/>
      <c r="J25" s="340"/>
      <c r="K25" s="349"/>
      <c r="L25" s="358" t="str">
        <f>'общие сведения'!A160</f>
        <v>тренер-преподаватель</v>
      </c>
      <c r="M25" s="358"/>
      <c r="N25" s="358" t="str">
        <f>'общие сведения'!D160</f>
        <v>тренера-преподавателя</v>
      </c>
      <c r="O25" s="152"/>
      <c r="P25" s="42">
        <f t="shared" si="0"/>
        <v>21</v>
      </c>
      <c r="Q25" s="349"/>
    </row>
    <row r="26" spans="9:17" ht="10.5" customHeight="1" hidden="1">
      <c r="I26" s="11"/>
      <c r="J26" s="340"/>
      <c r="K26" s="349"/>
      <c r="L26" s="358" t="str">
        <f>'общие сведения'!A161</f>
        <v>учитель</v>
      </c>
      <c r="M26" s="358"/>
      <c r="N26" s="358" t="str">
        <f>'общие сведения'!D161</f>
        <v>учителя</v>
      </c>
      <c r="O26" s="152"/>
      <c r="P26" s="42">
        <f t="shared" si="0"/>
        <v>7</v>
      </c>
      <c r="Q26" s="349"/>
    </row>
    <row r="27" spans="9:17" ht="10.5" customHeight="1" hidden="1">
      <c r="I27" s="11"/>
      <c r="J27" s="340"/>
      <c r="K27" s="349"/>
      <c r="L27" s="358" t="str">
        <f>'общие сведения'!A162</f>
        <v>учитель-дефектолог</v>
      </c>
      <c r="M27" s="358"/>
      <c r="N27" s="358" t="str">
        <f>'общие сведения'!D162</f>
        <v>учителя-дефектолога</v>
      </c>
      <c r="O27" s="152"/>
      <c r="P27" s="42">
        <f t="shared" si="0"/>
        <v>19</v>
      </c>
      <c r="Q27" s="349"/>
    </row>
    <row r="28" spans="9:17" ht="10.5" customHeight="1" hidden="1">
      <c r="I28" s="11"/>
      <c r="J28" s="340"/>
      <c r="K28" s="349"/>
      <c r="L28" s="358" t="str">
        <f>'общие сведения'!A163</f>
        <v>учитель-логопед</v>
      </c>
      <c r="M28" s="358"/>
      <c r="N28" s="358" t="str">
        <f>'общие сведения'!D163</f>
        <v>учителя-логопеда</v>
      </c>
      <c r="O28" s="152"/>
      <c r="P28" s="42">
        <f t="shared" si="0"/>
        <v>16</v>
      </c>
      <c r="Q28" s="349"/>
    </row>
    <row r="29" spans="9:17" ht="10.5" customHeight="1" hidden="1">
      <c r="I29" s="11"/>
      <c r="J29" s="340"/>
      <c r="K29" s="349"/>
      <c r="L29" s="358" t="str">
        <f>'общие сведения'!A164</f>
        <v>хормейстер</v>
      </c>
      <c r="M29" s="358"/>
      <c r="N29" s="358" t="str">
        <f>'общие сведения'!D164</f>
        <v>хормейстера</v>
      </c>
      <c r="O29" s="152"/>
      <c r="P29" s="42">
        <f t="shared" si="0"/>
        <v>11</v>
      </c>
      <c r="Q29" s="349"/>
    </row>
    <row r="30" spans="9:17" ht="10.5" customHeight="1" hidden="1">
      <c r="I30" s="11"/>
      <c r="J30" s="340"/>
      <c r="K30" s="349"/>
      <c r="L30" s="359" t="str">
        <f>IF(OR('общие сведения'!K32=""),"Ошибка !",VLOOKUP('общие сведения'!K32,L1:O29,3))</f>
        <v>концертмейстера</v>
      </c>
      <c r="M30" s="360"/>
      <c r="N30" s="361">
        <f>LEN(L30)</f>
        <v>15</v>
      </c>
      <c r="O30" s="156"/>
      <c r="Q30" s="349"/>
    </row>
    <row r="31" spans="9:17" ht="10.5" customHeight="1" hidden="1">
      <c r="I31" s="11"/>
      <c r="J31" s="340"/>
      <c r="K31" s="349"/>
      <c r="L31" s="362">
        <f>IF(ISERR(FIND(LEFT(L30,5),C45)),0,1)</f>
        <v>0</v>
      </c>
      <c r="M31" s="873"/>
      <c r="N31" s="873"/>
      <c r="O31" s="157"/>
      <c r="Q31" s="349"/>
    </row>
    <row r="32" spans="9:17" ht="10.5" customHeight="1" hidden="1">
      <c r="I32" s="11"/>
      <c r="J32" s="340"/>
      <c r="K32" s="349"/>
      <c r="L32" s="348"/>
      <c r="Q32" s="349"/>
    </row>
    <row r="33" spans="9:17" ht="10.5" customHeight="1" hidden="1">
      <c r="I33" s="11"/>
      <c r="J33" s="340"/>
      <c r="K33" s="349"/>
      <c r="L33" s="461"/>
      <c r="Q33" s="349"/>
    </row>
    <row r="34" spans="1:18" ht="15">
      <c r="A34" s="753" t="s">
        <v>562</v>
      </c>
      <c r="B34" s="753"/>
      <c r="C34" s="753"/>
      <c r="D34" s="753"/>
      <c r="E34" s="753"/>
      <c r="F34" s="753"/>
      <c r="G34" s="753"/>
      <c r="H34" s="753"/>
      <c r="I34" s="753"/>
      <c r="J34" s="753"/>
      <c r="K34" s="349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1" s="108" customFormat="1" ht="12.75" customHeight="1">
      <c r="A35" s="754" t="s">
        <v>548</v>
      </c>
      <c r="B35" s="754"/>
      <c r="C35" s="754"/>
      <c r="D35" s="754"/>
      <c r="E35" s="754"/>
      <c r="F35" s="754"/>
      <c r="G35" s="754"/>
      <c r="H35" s="754"/>
      <c r="I35" s="754"/>
      <c r="J35" s="754"/>
      <c r="K35" s="427"/>
    </row>
    <row r="36" spans="1:11" s="108" customFormat="1" ht="12.75">
      <c r="A36" s="755" t="s">
        <v>523</v>
      </c>
      <c r="B36" s="755"/>
      <c r="C36" s="755"/>
      <c r="D36" s="755"/>
      <c r="E36" s="755"/>
      <c r="F36" s="755"/>
      <c r="G36" s="755"/>
      <c r="H36" s="755"/>
      <c r="I36" s="755"/>
      <c r="J36" s="755"/>
      <c r="K36" s="427"/>
    </row>
    <row r="37" spans="1:11" s="108" customFormat="1" ht="12.75">
      <c r="A37" s="755"/>
      <c r="B37" s="755"/>
      <c r="C37" s="755"/>
      <c r="D37" s="755"/>
      <c r="E37" s="755"/>
      <c r="F37" s="755"/>
      <c r="G37" s="755"/>
      <c r="H37" s="755"/>
      <c r="I37" s="755"/>
      <c r="J37" s="755"/>
      <c r="K37" s="427"/>
    </row>
    <row r="38" spans="1:11" s="108" customFormat="1" ht="12.75">
      <c r="A38" s="974"/>
      <c r="B38" s="974"/>
      <c r="C38" s="974"/>
      <c r="D38" s="974"/>
      <c r="E38" s="974"/>
      <c r="F38" s="974"/>
      <c r="G38" s="974"/>
      <c r="H38" s="974"/>
      <c r="I38" s="974"/>
      <c r="J38" s="974"/>
      <c r="K38" s="427"/>
    </row>
    <row r="39" spans="1:11" s="432" customFormat="1" ht="18" customHeight="1">
      <c r="A39" s="428" t="s">
        <v>489</v>
      </c>
      <c r="B39" s="346"/>
      <c r="C39" s="346"/>
      <c r="D39" s="441"/>
      <c r="E39" s="441"/>
      <c r="F39" s="441"/>
      <c r="G39" s="441"/>
      <c r="H39" s="441"/>
      <c r="I39" s="441"/>
      <c r="J39" s="441"/>
      <c r="K39" s="431"/>
    </row>
    <row r="40" spans="1:18" s="434" customFormat="1" ht="2.25" customHeight="1">
      <c r="A40" s="428"/>
      <c r="B40" s="429"/>
      <c r="C40" s="429"/>
      <c r="D40" s="430"/>
      <c r="E40" s="430"/>
      <c r="F40" s="430"/>
      <c r="G40" s="430"/>
      <c r="H40" s="430"/>
      <c r="I40" s="430"/>
      <c r="J40" s="430"/>
      <c r="K40" s="431"/>
      <c r="L40" s="432"/>
      <c r="M40" s="432"/>
      <c r="N40" s="432"/>
      <c r="O40" s="432"/>
      <c r="P40" s="432"/>
      <c r="Q40" s="432"/>
      <c r="R40" s="433"/>
    </row>
    <row r="41" spans="1:11" s="435" customFormat="1" ht="12.75">
      <c r="A41" s="751" t="s">
        <v>111</v>
      </c>
      <c r="B41" s="751"/>
      <c r="C41" s="751"/>
      <c r="D41" s="735">
        <f>IF('общие сведения'!C25&lt;&gt;"",PROPER(TRIM('общие сведения'!C25)),"")</f>
      </c>
      <c r="E41" s="735"/>
      <c r="F41" s="735"/>
      <c r="G41" s="735"/>
      <c r="H41" s="735"/>
      <c r="I41" s="735"/>
      <c r="J41" s="735"/>
      <c r="K41" s="427"/>
    </row>
    <row r="42" spans="1:11" s="435" customFormat="1" ht="15" customHeight="1">
      <c r="A42" s="751" t="s">
        <v>150</v>
      </c>
      <c r="B42" s="751"/>
      <c r="C42" s="977">
        <f>IF(fio="","",TRIM('общие сведения'!C29))</f>
      </c>
      <c r="D42" s="977"/>
      <c r="E42" s="977"/>
      <c r="F42" s="977"/>
      <c r="G42" s="977"/>
      <c r="H42" s="977"/>
      <c r="I42" s="977"/>
      <c r="J42" s="977"/>
      <c r="K42" s="427"/>
    </row>
    <row r="43" spans="1:11" s="435" customFormat="1" ht="30" customHeight="1">
      <c r="A43" s="436"/>
      <c r="B43" s="123"/>
      <c r="C43" s="752"/>
      <c r="D43" s="752"/>
      <c r="E43" s="752"/>
      <c r="F43" s="752"/>
      <c r="G43" s="752"/>
      <c r="H43" s="752"/>
      <c r="I43" s="752"/>
      <c r="J43" s="752"/>
      <c r="K43" s="427"/>
    </row>
    <row r="44" spans="1:11" s="435" customFormat="1" ht="12.75" hidden="1">
      <c r="A44" s="436"/>
      <c r="B44" s="123"/>
      <c r="C44" s="437"/>
      <c r="D44" s="437"/>
      <c r="E44" s="437"/>
      <c r="F44" s="437"/>
      <c r="G44" s="437"/>
      <c r="H44" s="437"/>
      <c r="I44" s="437"/>
      <c r="J44" s="437"/>
      <c r="K44" s="427"/>
    </row>
    <row r="45" spans="1:11" s="435" customFormat="1" ht="12.75">
      <c r="A45" s="751" t="s">
        <v>151</v>
      </c>
      <c r="B45" s="751"/>
      <c r="C45" s="978">
        <f>IF(fio="","",'общие сведения'!K32)</f>
      </c>
      <c r="D45" s="978"/>
      <c r="E45" s="978"/>
      <c r="F45" s="978"/>
      <c r="G45" s="978"/>
      <c r="H45" s="978"/>
      <c r="I45" s="978"/>
      <c r="J45" s="978"/>
      <c r="K45" s="427"/>
    </row>
    <row r="46" spans="1:11" s="435" customFormat="1" ht="12.75">
      <c r="A46" s="134" t="s">
        <v>522</v>
      </c>
      <c r="B46" s="516"/>
      <c r="C46" s="978">
        <f>IF(fio="","",'общие сведения'!K33)</f>
      </c>
      <c r="D46" s="978"/>
      <c r="E46" s="978"/>
      <c r="F46" s="978"/>
      <c r="G46" s="978"/>
      <c r="H46" s="978"/>
      <c r="I46" s="978"/>
      <c r="J46" s="978"/>
      <c r="K46" s="427"/>
    </row>
    <row r="47" spans="1:11" s="435" customFormat="1" ht="12.75">
      <c r="A47" s="751" t="s">
        <v>112</v>
      </c>
      <c r="B47" s="751"/>
      <c r="C47" s="751"/>
      <c r="D47" s="975">
        <f>IF(fio="","",IF('общие сведения'!D27="муниципальный район",'общие сведения'!G27,'общие сведения'!D27))</f>
      </c>
      <c r="E47" s="975"/>
      <c r="F47" s="975"/>
      <c r="G47" s="976">
        <f>IF(fio="","",IF('общие сведения'!D27="муниципальный район",'общие сведения'!D27,'общие сведения'!G27))</f>
      </c>
      <c r="H47" s="976"/>
      <c r="I47" s="976"/>
      <c r="J47" s="976"/>
      <c r="K47" s="427"/>
    </row>
    <row r="48" spans="1:11" s="435" customFormat="1" ht="12.75">
      <c r="A48" s="751" t="s">
        <v>161</v>
      </c>
      <c r="B48" s="751"/>
      <c r="C48" s="751"/>
      <c r="D48" s="751"/>
      <c r="E48" s="438">
        <f>IF(fio="","",'общие сведения'!D40)</f>
      </c>
      <c r="F48" s="439">
        <f>IF(fio="","",'общие сведения'!E40)</f>
      </c>
      <c r="G48" s="440"/>
      <c r="H48" s="440"/>
      <c r="I48" s="440"/>
      <c r="J48" s="440"/>
      <c r="K48" s="427"/>
    </row>
    <row r="49" spans="1:18" s="518" customFormat="1" ht="12.75">
      <c r="A49" s="751" t="s">
        <v>162</v>
      </c>
      <c r="B49" s="751"/>
      <c r="C49" s="751"/>
      <c r="D49" s="751"/>
      <c r="E49" s="943">
        <f>IF(fio&lt;&gt;"",'общие сведения'!D41,"")</f>
      </c>
      <c r="F49" s="943"/>
      <c r="G49" s="750" t="s">
        <v>524</v>
      </c>
      <c r="H49" s="750"/>
      <c r="I49" s="979">
        <f>IF(OR('общие сведения'!I41="",E49=""),"",'общие сведения'!I41)</f>
      </c>
      <c r="J49" s="979"/>
      <c r="K49" s="517"/>
      <c r="Q49" s="520"/>
      <c r="R49" s="519"/>
    </row>
    <row r="50" spans="1:18" s="518" customFormat="1" ht="12.75">
      <c r="A50" s="751" t="s">
        <v>113</v>
      </c>
      <c r="B50" s="751"/>
      <c r="C50" s="751"/>
      <c r="D50" s="751"/>
      <c r="E50" s="756">
        <f>IF(fio&lt;&gt;"",'общие сведения'!D43,"")</f>
      </c>
      <c r="F50" s="756"/>
      <c r="G50" s="750">
        <f>IF(E49="нет",'общие сведения'!K43,"")</f>
      </c>
      <c r="H50" s="750"/>
      <c r="I50" s="521">
        <f>IF(E49="нет",'общие сведения'!L43,"")</f>
      </c>
      <c r="J50" s="522">
        <f>IF(E49="нет",'общие сведения'!M43,"")</f>
      </c>
      <c r="K50" s="517"/>
      <c r="L50" s="523"/>
      <c r="Q50" s="520"/>
      <c r="R50" s="519"/>
    </row>
    <row r="51" spans="1:18" s="518" customFormat="1" ht="12.75" customHeight="1">
      <c r="A51" s="751" t="s">
        <v>501</v>
      </c>
      <c r="B51" s="751"/>
      <c r="C51" s="752">
        <f>IF(fio="","",'общие сведения'!B45)</f>
      </c>
      <c r="D51" s="752"/>
      <c r="E51" s="752"/>
      <c r="F51" s="752"/>
      <c r="G51" s="524"/>
      <c r="H51" s="524"/>
      <c r="I51" s="524"/>
      <c r="J51" s="525"/>
      <c r="K51" s="517"/>
      <c r="L51" s="523"/>
      <c r="Q51" s="520"/>
      <c r="R51" s="519"/>
    </row>
    <row r="52" spans="1:18" s="518" customFormat="1" ht="3.75" customHeight="1">
      <c r="A52" s="128"/>
      <c r="B52" s="346"/>
      <c r="C52" s="346"/>
      <c r="D52" s="441"/>
      <c r="E52" s="526"/>
      <c r="F52" s="526"/>
      <c r="G52" s="526"/>
      <c r="H52" s="526"/>
      <c r="I52" s="526"/>
      <c r="J52" s="525"/>
      <c r="K52" s="517"/>
      <c r="L52" s="523"/>
      <c r="Q52" s="520"/>
      <c r="R52" s="519"/>
    </row>
    <row r="53" spans="1:57" s="518" customFormat="1" ht="12.75" customHeight="1">
      <c r="A53" s="981">
        <f>IF(fio="","",'общие сведения'!L48&amp;IF('общие сведения'!L52="","","; "&amp;'общие сведения'!L52)&amp;IF('общие сведения'!L56="","","; "&amp;'общие сведения'!L56))</f>
      </c>
      <c r="B53" s="981"/>
      <c r="C53" s="981"/>
      <c r="D53" s="981"/>
      <c r="E53" s="981"/>
      <c r="F53" s="981"/>
      <c r="G53" s="981"/>
      <c r="H53" s="981"/>
      <c r="I53" s="981"/>
      <c r="J53" s="981"/>
      <c r="K53" s="517"/>
      <c r="L53" s="523"/>
      <c r="Q53" s="520"/>
      <c r="R53" s="519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</row>
    <row r="54" spans="1:57" s="518" customFormat="1" ht="12.75">
      <c r="A54" s="981"/>
      <c r="B54" s="981"/>
      <c r="C54" s="981"/>
      <c r="D54" s="981"/>
      <c r="E54" s="981"/>
      <c r="F54" s="981"/>
      <c r="G54" s="981"/>
      <c r="H54" s="981"/>
      <c r="I54" s="981"/>
      <c r="J54" s="981"/>
      <c r="K54" s="517"/>
      <c r="L54" s="523"/>
      <c r="Q54" s="520"/>
      <c r="R54" s="519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</row>
    <row r="55" spans="1:57" s="518" customFormat="1" ht="12.75">
      <c r="A55" s="981"/>
      <c r="B55" s="981"/>
      <c r="C55" s="981"/>
      <c r="D55" s="981"/>
      <c r="E55" s="981"/>
      <c r="F55" s="981"/>
      <c r="G55" s="981"/>
      <c r="H55" s="981"/>
      <c r="I55" s="981"/>
      <c r="J55" s="981"/>
      <c r="K55" s="517"/>
      <c r="L55" s="523"/>
      <c r="Q55" s="520"/>
      <c r="R55" s="519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</row>
    <row r="56" spans="1:57" s="518" customFormat="1" ht="12.75">
      <c r="A56" s="981"/>
      <c r="B56" s="981"/>
      <c r="C56" s="981"/>
      <c r="D56" s="981"/>
      <c r="E56" s="981"/>
      <c r="F56" s="981"/>
      <c r="G56" s="981"/>
      <c r="H56" s="981"/>
      <c r="I56" s="981"/>
      <c r="J56" s="981"/>
      <c r="K56" s="517"/>
      <c r="L56" s="523"/>
      <c r="Q56" s="520"/>
      <c r="R56" s="519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</row>
    <row r="57" spans="1:57" s="518" customFormat="1" ht="7.5" customHeight="1">
      <c r="A57" s="527"/>
      <c r="B57" s="527"/>
      <c r="C57" s="527"/>
      <c r="D57" s="527"/>
      <c r="E57" s="527"/>
      <c r="F57" s="527"/>
      <c r="G57" s="527"/>
      <c r="H57" s="527"/>
      <c r="I57" s="527"/>
      <c r="J57" s="525"/>
      <c r="K57" s="517"/>
      <c r="L57" s="523"/>
      <c r="Q57" s="520"/>
      <c r="R57" s="519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</row>
    <row r="58" spans="1:57" s="518" customFormat="1" ht="12.75">
      <c r="A58" s="529" t="s">
        <v>525</v>
      </c>
      <c r="B58" s="132"/>
      <c r="C58" s="528"/>
      <c r="D58" s="528"/>
      <c r="E58" s="528"/>
      <c r="F58" s="530"/>
      <c r="G58" s="528"/>
      <c r="H58" s="528"/>
      <c r="I58" s="528"/>
      <c r="J58" s="525"/>
      <c r="K58" s="517"/>
      <c r="L58" s="523"/>
      <c r="Q58" s="520"/>
      <c r="R58" s="519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</row>
    <row r="59" spans="1:18" s="518" customFormat="1" ht="12.75">
      <c r="A59" s="1071" t="str">
        <f>'общие сведения'!A71</f>
        <v>Курсы повышения квалификации</v>
      </c>
      <c r="B59" s="1071"/>
      <c r="C59" s="1071"/>
      <c r="D59" s="1071"/>
      <c r="E59" s="1071"/>
      <c r="F59" s="532">
        <f>IF(fio="","",'общие сведения'!G71)</f>
      </c>
      <c r="G59" s="132" t="s">
        <v>526</v>
      </c>
      <c r="H59" s="526"/>
      <c r="I59" s="526"/>
      <c r="J59" s="525"/>
      <c r="K59" s="517"/>
      <c r="L59" s="523"/>
      <c r="Q59" s="520"/>
      <c r="R59" s="519"/>
    </row>
    <row r="60" spans="1:18" s="518" customFormat="1" ht="12.75">
      <c r="A60" s="980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0"/>
      <c r="C60" s="980"/>
      <c r="D60" s="980"/>
      <c r="E60" s="980"/>
      <c r="F60" s="980"/>
      <c r="G60" s="980"/>
      <c r="H60" s="980"/>
      <c r="I60" s="980"/>
      <c r="J60" s="525"/>
      <c r="K60" s="517"/>
      <c r="L60" s="523"/>
      <c r="Q60" s="520"/>
      <c r="R60" s="519"/>
    </row>
    <row r="61" spans="1:18" s="518" customFormat="1" ht="12.75" customHeight="1">
      <c r="A61" s="981">
        <f>IF(fio="","",'общие сведения'!L66)</f>
      </c>
      <c r="B61" s="981"/>
      <c r="C61" s="981"/>
      <c r="D61" s="981"/>
      <c r="E61" s="981"/>
      <c r="F61" s="981"/>
      <c r="G61" s="981"/>
      <c r="H61" s="981"/>
      <c r="I61" s="981"/>
      <c r="J61" s="981"/>
      <c r="K61" s="517"/>
      <c r="Q61" s="520"/>
      <c r="R61" s="519"/>
    </row>
    <row r="62" spans="1:18" s="518" customFormat="1" ht="12.75">
      <c r="A62" s="981"/>
      <c r="B62" s="981"/>
      <c r="C62" s="981"/>
      <c r="D62" s="981"/>
      <c r="E62" s="981"/>
      <c r="F62" s="981"/>
      <c r="G62" s="981"/>
      <c r="H62" s="981"/>
      <c r="I62" s="981"/>
      <c r="J62" s="981"/>
      <c r="K62" s="517"/>
      <c r="Q62" s="520"/>
      <c r="R62" s="519"/>
    </row>
    <row r="63" spans="1:18" s="518" customFormat="1" ht="12.75">
      <c r="A63" s="981"/>
      <c r="B63" s="981"/>
      <c r="C63" s="981"/>
      <c r="D63" s="981"/>
      <c r="E63" s="981"/>
      <c r="F63" s="981"/>
      <c r="G63" s="981"/>
      <c r="H63" s="981"/>
      <c r="I63" s="981"/>
      <c r="J63" s="981"/>
      <c r="K63" s="517"/>
      <c r="Q63" s="520"/>
      <c r="R63" s="519"/>
    </row>
    <row r="64" spans="1:18" s="518" customFormat="1" ht="9" customHeight="1">
      <c r="A64" s="533"/>
      <c r="B64" s="346"/>
      <c r="C64" s="346"/>
      <c r="D64" s="441"/>
      <c r="E64" s="526"/>
      <c r="F64" s="526"/>
      <c r="G64" s="526"/>
      <c r="H64" s="526"/>
      <c r="I64" s="526"/>
      <c r="J64" s="525"/>
      <c r="K64" s="517"/>
      <c r="Q64" s="520"/>
      <c r="R64" s="519"/>
    </row>
    <row r="65" spans="1:18" s="518" customFormat="1" ht="12.75">
      <c r="A65" s="982" t="s">
        <v>527</v>
      </c>
      <c r="B65" s="982"/>
      <c r="C65" s="982"/>
      <c r="D65" s="982"/>
      <c r="E65" s="982"/>
      <c r="F65" s="982"/>
      <c r="G65" s="982"/>
      <c r="H65" s="982"/>
      <c r="I65" s="982"/>
      <c r="J65" s="525"/>
      <c r="K65" s="517"/>
      <c r="Q65" s="520"/>
      <c r="R65" s="519"/>
    </row>
    <row r="66" spans="1:18" s="518" customFormat="1" ht="12.75" customHeight="1">
      <c r="A66" s="948" t="s">
        <v>528</v>
      </c>
      <c r="B66" s="948"/>
      <c r="C66" s="948"/>
      <c r="D66" s="948"/>
      <c r="E66" s="948"/>
      <c r="F66" s="948"/>
      <c r="G66" s="948"/>
      <c r="H66" s="948"/>
      <c r="I66" s="948"/>
      <c r="J66" s="948"/>
      <c r="K66" s="517"/>
      <c r="Q66" s="520"/>
      <c r="R66" s="519"/>
    </row>
    <row r="67" spans="1:18" s="518" customFormat="1" ht="12.75">
      <c r="A67" s="948"/>
      <c r="B67" s="948"/>
      <c r="C67" s="948"/>
      <c r="D67" s="948"/>
      <c r="E67" s="948"/>
      <c r="F67" s="948"/>
      <c r="G67" s="948"/>
      <c r="H67" s="948"/>
      <c r="I67" s="948"/>
      <c r="J67" s="948"/>
      <c r="K67" s="517"/>
      <c r="Q67" s="520"/>
      <c r="R67" s="519"/>
    </row>
    <row r="68" spans="1:18" s="518" customFormat="1" ht="12.75">
      <c r="A68" s="948"/>
      <c r="B68" s="948"/>
      <c r="C68" s="948"/>
      <c r="D68" s="948"/>
      <c r="E68" s="948"/>
      <c r="F68" s="948"/>
      <c r="G68" s="948"/>
      <c r="H68" s="948"/>
      <c r="I68" s="948"/>
      <c r="J68" s="948"/>
      <c r="K68" s="517"/>
      <c r="Q68" s="520"/>
      <c r="R68" s="519"/>
    </row>
    <row r="69" spans="1:18" s="518" customFormat="1" ht="20.25" customHeight="1">
      <c r="A69" s="948" t="s">
        <v>529</v>
      </c>
      <c r="B69" s="948"/>
      <c r="C69" s="948"/>
      <c r="D69" s="948"/>
      <c r="E69" s="948"/>
      <c r="F69" s="948"/>
      <c r="G69" s="948"/>
      <c r="H69" s="948"/>
      <c r="I69" s="948"/>
      <c r="J69" s="525"/>
      <c r="K69" s="517"/>
      <c r="Q69" s="520"/>
      <c r="R69" s="519"/>
    </row>
    <row r="70" spans="1:18" s="518" customFormat="1" ht="12.75">
      <c r="A70" s="132" t="str">
        <f>A103&amp;B103</f>
        <v>1. Продуктивность образовательной деятельности</v>
      </c>
      <c r="C70" s="132"/>
      <c r="D70" s="441"/>
      <c r="E70" s="526"/>
      <c r="F70" s="526"/>
      <c r="G70" s="526"/>
      <c r="H70" s="526"/>
      <c r="J70" s="534">
        <f>IF(fio="","",итого_1)</f>
      </c>
      <c r="K70" s="517"/>
      <c r="Q70" s="520"/>
      <c r="R70" s="519"/>
    </row>
    <row r="71" spans="1:18" s="518" customFormat="1" ht="12.75">
      <c r="A71" s="132" t="str">
        <f>A135&amp;B135</f>
        <v>2. Продуктивность деятельности педагогического работника по развитию обучающихся/ воспитанников</v>
      </c>
      <c r="C71" s="132"/>
      <c r="D71" s="441"/>
      <c r="E71" s="526"/>
      <c r="F71" s="526"/>
      <c r="G71" s="526"/>
      <c r="H71" s="526"/>
      <c r="J71" s="534">
        <f>IF(fio="","",итого_2)</f>
      </c>
      <c r="K71" s="517"/>
      <c r="Q71" s="520"/>
      <c r="R71" s="519"/>
    </row>
    <row r="72" spans="1:18" s="518" customFormat="1" ht="12.75">
      <c r="A72" s="132" t="str">
        <f>A178&amp;B178</f>
        <v>3. Продуктивность личного вклада педагогического работника в повышение качества образования</v>
      </c>
      <c r="C72" s="132"/>
      <c r="D72" s="441"/>
      <c r="E72" s="526"/>
      <c r="F72" s="526"/>
      <c r="G72" s="526"/>
      <c r="H72" s="526"/>
      <c r="J72" s="535">
        <f>IF(fio="","",итого_3)</f>
      </c>
      <c r="K72" s="517"/>
      <c r="Q72" s="520"/>
      <c r="R72" s="519"/>
    </row>
    <row r="73" spans="1:18" s="518" customFormat="1" ht="16.5" customHeight="1">
      <c r="A73" s="949" t="s">
        <v>530</v>
      </c>
      <c r="B73" s="949"/>
      <c r="C73" s="949"/>
      <c r="D73" s="949"/>
      <c r="E73" s="949"/>
      <c r="F73" s="949"/>
      <c r="G73" s="949"/>
      <c r="H73" s="949"/>
      <c r="I73" s="536">
        <f>IF(fio="","",SUM(J70:J72))</f>
      </c>
      <c r="J73" s="537" t="s">
        <v>106</v>
      </c>
      <c r="K73" s="517"/>
      <c r="Q73" s="520"/>
      <c r="R73" s="519"/>
    </row>
    <row r="74" spans="1:18" s="518" customFormat="1" ht="7.5" customHeight="1">
      <c r="A74" s="538"/>
      <c r="B74" s="538"/>
      <c r="C74" s="538"/>
      <c r="D74" s="538"/>
      <c r="E74" s="538"/>
      <c r="F74" s="538"/>
      <c r="G74" s="538"/>
      <c r="H74" s="538"/>
      <c r="I74" s="539"/>
      <c r="J74" s="540"/>
      <c r="K74" s="517"/>
      <c r="Q74" s="520"/>
      <c r="R74" s="519"/>
    </row>
    <row r="75" spans="1:18" s="518" customFormat="1" ht="7.5" customHeight="1" hidden="1">
      <c r="A75" s="538"/>
      <c r="B75" s="538"/>
      <c r="C75" s="538"/>
      <c r="D75" s="538"/>
      <c r="E75" s="538"/>
      <c r="F75" s="538"/>
      <c r="G75" s="538"/>
      <c r="H75" s="538"/>
      <c r="I75" s="539"/>
      <c r="J75" s="525"/>
      <c r="K75" s="517"/>
      <c r="Q75" s="520"/>
      <c r="R75" s="519"/>
    </row>
    <row r="76" spans="1:18" s="543" customFormat="1" ht="15.75" customHeight="1">
      <c r="A76" s="950" t="s">
        <v>531</v>
      </c>
      <c r="B76" s="950"/>
      <c r="C76" s="950"/>
      <c r="D76" s="951" t="str">
        <f>E421&amp;"  "&amp;G421</f>
        <v>  </v>
      </c>
      <c r="E76" s="951"/>
      <c r="F76" s="951"/>
      <c r="G76" s="951"/>
      <c r="H76" s="542" t="s">
        <v>532</v>
      </c>
      <c r="J76" s="544"/>
      <c r="K76" s="517"/>
      <c r="N76" s="17"/>
      <c r="O76" s="545"/>
      <c r="Q76" s="547"/>
      <c r="R76" s="546"/>
    </row>
    <row r="77" spans="1:18" s="543" customFormat="1" ht="12.75">
      <c r="A77" s="131" t="s">
        <v>533</v>
      </c>
      <c r="B77" s="131"/>
      <c r="C77" s="536">
        <f>E422</f>
      </c>
      <c r="D77" s="131" t="s">
        <v>534</v>
      </c>
      <c r="F77" s="548"/>
      <c r="I77" s="129"/>
      <c r="J77" s="549"/>
      <c r="K77" s="517"/>
      <c r="N77" s="17"/>
      <c r="O77" s="545"/>
      <c r="Q77" s="547"/>
      <c r="R77" s="546"/>
    </row>
    <row r="78" spans="1:18" s="518" customFormat="1" ht="4.5" customHeight="1">
      <c r="A78" s="128"/>
      <c r="B78" s="346"/>
      <c r="C78" s="346"/>
      <c r="D78" s="441"/>
      <c r="E78" s="526"/>
      <c r="F78" s="526"/>
      <c r="G78" s="526"/>
      <c r="H78" s="526"/>
      <c r="I78" s="526"/>
      <c r="J78" s="525"/>
      <c r="K78" s="517"/>
      <c r="Q78" s="520"/>
      <c r="R78" s="519"/>
    </row>
    <row r="79" spans="1:18" s="518" customFormat="1" ht="12.75">
      <c r="A79" s="529" t="s">
        <v>296</v>
      </c>
      <c r="B79" s="346"/>
      <c r="C79" s="346"/>
      <c r="D79" s="441"/>
      <c r="E79" s="526"/>
      <c r="F79" s="526"/>
      <c r="G79" s="526"/>
      <c r="H79" s="526"/>
      <c r="I79" s="526"/>
      <c r="J79" s="525"/>
      <c r="K79" s="517"/>
      <c r="Q79" s="520"/>
      <c r="R79" s="519"/>
    </row>
    <row r="80" spans="1:50" s="518" customFormat="1" ht="12.75" customHeight="1">
      <c r="A80" s="128"/>
      <c r="B80" s="346"/>
      <c r="C80" s="952">
        <f>IF(fio&lt;&gt;"",рек_итог,"")</f>
      </c>
      <c r="D80" s="952"/>
      <c r="E80" s="952"/>
      <c r="F80" s="952"/>
      <c r="G80" s="952"/>
      <c r="H80" s="952"/>
      <c r="I80" s="952"/>
      <c r="J80" s="952"/>
      <c r="K80" s="517"/>
      <c r="L80" s="550"/>
      <c r="M80" s="550"/>
      <c r="N80" s="550"/>
      <c r="O80" s="550"/>
      <c r="P80" s="550"/>
      <c r="Q80" s="520"/>
      <c r="R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0"/>
      <c r="AR80" s="550"/>
      <c r="AS80" s="550"/>
      <c r="AT80" s="550"/>
      <c r="AU80" s="550"/>
      <c r="AV80" s="550"/>
      <c r="AW80" s="550"/>
      <c r="AX80" s="550"/>
    </row>
    <row r="81" spans="1:50" s="518" customFormat="1" ht="12.75">
      <c r="A81" s="128"/>
      <c r="B81" s="346"/>
      <c r="C81" s="952"/>
      <c r="D81" s="952"/>
      <c r="E81" s="952"/>
      <c r="F81" s="952"/>
      <c r="G81" s="952"/>
      <c r="H81" s="952"/>
      <c r="I81" s="952"/>
      <c r="J81" s="952"/>
      <c r="K81" s="517"/>
      <c r="L81" s="550"/>
      <c r="M81" s="550"/>
      <c r="N81" s="550"/>
      <c r="O81" s="550"/>
      <c r="P81" s="550"/>
      <c r="Q81" s="520"/>
      <c r="R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</row>
    <row r="82" spans="1:50" s="518" customFormat="1" ht="3" customHeight="1">
      <c r="A82" s="128"/>
      <c r="B82" s="346"/>
      <c r="C82" s="952"/>
      <c r="D82" s="952"/>
      <c r="E82" s="952"/>
      <c r="F82" s="952"/>
      <c r="G82" s="952"/>
      <c r="H82" s="952"/>
      <c r="I82" s="952"/>
      <c r="J82" s="952"/>
      <c r="K82" s="517"/>
      <c r="L82" s="550"/>
      <c r="M82" s="550"/>
      <c r="N82" s="550"/>
      <c r="O82" s="550"/>
      <c r="P82" s="550"/>
      <c r="Q82" s="520"/>
      <c r="R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550"/>
      <c r="AR82" s="550"/>
      <c r="AS82" s="550"/>
      <c r="AT82" s="550"/>
      <c r="AU82" s="550"/>
      <c r="AV82" s="550"/>
      <c r="AW82" s="550"/>
      <c r="AX82" s="550"/>
    </row>
    <row r="83" spans="1:18" s="518" customFormat="1" ht="3" customHeight="1">
      <c r="A83" s="128"/>
      <c r="B83" s="346"/>
      <c r="C83" s="346"/>
      <c r="D83" s="441"/>
      <c r="E83" s="526"/>
      <c r="F83" s="526"/>
      <c r="G83" s="526"/>
      <c r="H83" s="526"/>
      <c r="I83" s="526"/>
      <c r="J83" s="525"/>
      <c r="K83" s="517"/>
      <c r="Q83" s="520"/>
      <c r="R83" s="519"/>
    </row>
    <row r="84" spans="1:18" s="543" customFormat="1" ht="15" customHeight="1">
      <c r="A84" s="953" t="s">
        <v>535</v>
      </c>
      <c r="B84" s="953"/>
      <c r="C84" s="953"/>
      <c r="D84" s="441"/>
      <c r="E84" s="441"/>
      <c r="F84" s="441"/>
      <c r="G84" s="441"/>
      <c r="H84" s="441"/>
      <c r="I84" s="441"/>
      <c r="J84" s="525"/>
      <c r="K84" s="517"/>
      <c r="L84" s="551"/>
      <c r="M84" s="551"/>
      <c r="N84" s="551"/>
      <c r="O84" s="131"/>
      <c r="P84" s="131"/>
      <c r="Q84" s="520"/>
      <c r="R84" s="552"/>
    </row>
    <row r="85" spans="1:18" s="543" customFormat="1" ht="12.75">
      <c r="A85" s="953"/>
      <c r="B85" s="953"/>
      <c r="C85" s="953"/>
      <c r="D85" s="132"/>
      <c r="E85" s="132"/>
      <c r="F85" s="553">
        <f>IF(fio&lt;&gt;"",IF('общие сведения'!K98&lt;&gt;"",'общие сведения'!K98,""),"")</f>
      </c>
      <c r="G85" s="554"/>
      <c r="H85" s="554"/>
      <c r="I85" s="554"/>
      <c r="J85" s="525"/>
      <c r="K85" s="517"/>
      <c r="L85" s="551"/>
      <c r="M85" s="551"/>
      <c r="N85" s="132"/>
      <c r="O85" s="353"/>
      <c r="P85" s="555"/>
      <c r="Q85" s="520"/>
      <c r="R85" s="401"/>
    </row>
    <row r="86" spans="1:18" s="543" customFormat="1" ht="9.75" customHeight="1">
      <c r="A86" s="953" t="s">
        <v>536</v>
      </c>
      <c r="B86" s="953"/>
      <c r="C86" s="953"/>
      <c r="D86" s="132"/>
      <c r="E86" s="132"/>
      <c r="F86" s="739" t="s">
        <v>148</v>
      </c>
      <c r="G86" s="739"/>
      <c r="H86" s="739"/>
      <c r="I86" s="739"/>
      <c r="J86" s="525"/>
      <c r="K86" s="517"/>
      <c r="L86" s="556"/>
      <c r="M86" s="556"/>
      <c r="N86" s="92"/>
      <c r="O86" s="132"/>
      <c r="P86" s="132"/>
      <c r="Q86" s="520"/>
      <c r="R86" s="557"/>
    </row>
    <row r="87" spans="1:18" s="543" customFormat="1" ht="15.75" customHeight="1">
      <c r="A87" s="953"/>
      <c r="B87" s="953"/>
      <c r="C87" s="953"/>
      <c r="D87" s="132"/>
      <c r="E87" s="132"/>
      <c r="F87" s="553">
        <f>IF(fio&lt;&gt;"",IF('общие сведения'!K100&lt;&gt;"",'общие сведения'!K100,""),"")</f>
      </c>
      <c r="G87" s="558"/>
      <c r="H87" s="558"/>
      <c r="I87" s="558"/>
      <c r="J87" s="525"/>
      <c r="K87" s="517"/>
      <c r="L87" s="131"/>
      <c r="M87" s="131"/>
      <c r="N87" s="132"/>
      <c r="O87" s="92"/>
      <c r="P87" s="92"/>
      <c r="Q87" s="520"/>
      <c r="R87" s="559"/>
    </row>
    <row r="88" spans="1:18" s="543" customFormat="1" ht="9.75" customHeight="1">
      <c r="A88" s="546"/>
      <c r="B88" s="560"/>
      <c r="C88" s="441"/>
      <c r="D88" s="132"/>
      <c r="E88" s="132"/>
      <c r="F88" s="739" t="s">
        <v>148</v>
      </c>
      <c r="G88" s="739"/>
      <c r="H88" s="739"/>
      <c r="I88" s="739"/>
      <c r="J88" s="525"/>
      <c r="K88" s="517"/>
      <c r="L88" s="131"/>
      <c r="M88" s="131"/>
      <c r="N88" s="92"/>
      <c r="O88" s="132"/>
      <c r="P88" s="132"/>
      <c r="Q88" s="520"/>
      <c r="R88" s="557"/>
    </row>
    <row r="89" spans="1:18" s="543" customFormat="1" ht="15.75">
      <c r="A89" s="546"/>
      <c r="B89" s="128"/>
      <c r="C89" s="441"/>
      <c r="D89" s="132"/>
      <c r="E89" s="132"/>
      <c r="F89" s="553">
        <f>IF(fio&lt;&gt;"",IF('общие сведения'!K102&lt;&gt;"",'общие сведения'!K102,""),"")</f>
      </c>
      <c r="G89" s="541"/>
      <c r="H89" s="558"/>
      <c r="I89" s="558"/>
      <c r="J89" s="525"/>
      <c r="K89" s="517"/>
      <c r="L89" s="551"/>
      <c r="M89" s="551"/>
      <c r="N89" s="132"/>
      <c r="O89" s="92"/>
      <c r="P89" s="92"/>
      <c r="Q89" s="520"/>
      <c r="R89" s="559"/>
    </row>
    <row r="90" spans="2:18" s="543" customFormat="1" ht="11.25" customHeight="1">
      <c r="B90" s="128"/>
      <c r="C90" s="441"/>
      <c r="D90" s="132"/>
      <c r="E90" s="132"/>
      <c r="F90" s="739" t="s">
        <v>148</v>
      </c>
      <c r="G90" s="739"/>
      <c r="H90" s="739"/>
      <c r="I90" s="739"/>
      <c r="J90" s="525"/>
      <c r="K90" s="517"/>
      <c r="L90" s="556"/>
      <c r="M90" s="132"/>
      <c r="N90" s="92"/>
      <c r="O90" s="132"/>
      <c r="P90" s="132"/>
      <c r="Q90" s="520"/>
      <c r="R90" s="557"/>
    </row>
    <row r="91" spans="2:18" s="543" customFormat="1" ht="11.25" customHeight="1">
      <c r="B91" s="128"/>
      <c r="C91" s="441"/>
      <c r="D91" s="132"/>
      <c r="E91" s="132"/>
      <c r="F91" s="424"/>
      <c r="G91" s="424"/>
      <c r="H91" s="424"/>
      <c r="I91" s="424"/>
      <c r="J91" s="525"/>
      <c r="K91" s="517"/>
      <c r="L91" s="556"/>
      <c r="M91" s="132"/>
      <c r="N91" s="92"/>
      <c r="O91" s="132"/>
      <c r="P91" s="132"/>
      <c r="Q91" s="520"/>
      <c r="R91" s="557"/>
    </row>
    <row r="92" spans="1:18" s="543" customFormat="1" ht="15" customHeight="1">
      <c r="A92" s="767" t="s">
        <v>46</v>
      </c>
      <c r="B92" s="767"/>
      <c r="C92" s="767"/>
      <c r="D92" s="767"/>
      <c r="E92" s="767"/>
      <c r="F92" s="767"/>
      <c r="G92" s="985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985"/>
      <c r="I92" s="985"/>
      <c r="J92" s="525"/>
      <c r="K92" s="517"/>
      <c r="L92" s="556"/>
      <c r="M92" s="92"/>
      <c r="N92" s="92"/>
      <c r="O92" s="132"/>
      <c r="P92" s="132"/>
      <c r="Q92" s="520"/>
      <c r="R92" s="557"/>
    </row>
    <row r="93" spans="1:18" s="543" customFormat="1" ht="12" customHeight="1">
      <c r="A93" s="561"/>
      <c r="B93" s="561"/>
      <c r="C93" s="561"/>
      <c r="D93" s="561"/>
      <c r="E93" s="561"/>
      <c r="F93" s="561"/>
      <c r="G93" s="562"/>
      <c r="H93" s="562"/>
      <c r="I93" s="353"/>
      <c r="J93" s="525"/>
      <c r="K93" s="517"/>
      <c r="L93" s="556"/>
      <c r="M93" s="92"/>
      <c r="N93" s="92"/>
      <c r="O93" s="132"/>
      <c r="P93" s="132"/>
      <c r="Q93" s="520"/>
      <c r="R93" s="557"/>
    </row>
    <row r="94" spans="1:18" s="543" customFormat="1" ht="10.5" customHeight="1">
      <c r="A94" s="546"/>
      <c r="B94" s="128"/>
      <c r="C94" s="133"/>
      <c r="D94" s="441"/>
      <c r="E94" s="441"/>
      <c r="F94" s="441"/>
      <c r="G94" s="441"/>
      <c r="H94" s="563"/>
      <c r="I94" s="441"/>
      <c r="J94" s="525"/>
      <c r="K94" s="517"/>
      <c r="L94" s="132">
        <f>IF(ЭЗ!E337&lt;&gt;"",ЭЗ!E337,"")</f>
      </c>
      <c r="M94" s="132"/>
      <c r="N94" s="564"/>
      <c r="O94" s="92"/>
      <c r="P94" s="92"/>
      <c r="Q94" s="520"/>
      <c r="R94" s="559"/>
    </row>
    <row r="95" spans="2:18" s="543" customFormat="1" ht="15.75" customHeight="1">
      <c r="B95" s="736"/>
      <c r="C95" s="736"/>
      <c r="D95" s="736"/>
      <c r="E95" s="736"/>
      <c r="F95" s="736"/>
      <c r="G95" s="736"/>
      <c r="H95" s="736"/>
      <c r="I95" s="736"/>
      <c r="J95" s="565"/>
      <c r="K95" s="517"/>
      <c r="L95" s="556"/>
      <c r="M95" s="92"/>
      <c r="N95" s="564"/>
      <c r="O95" s="566"/>
      <c r="P95" s="567"/>
      <c r="Q95" s="520"/>
      <c r="R95" s="401"/>
    </row>
    <row r="96" spans="1:18" s="543" customFormat="1" ht="14.25">
      <c r="A96" s="546"/>
      <c r="B96" s="737" t="s">
        <v>537</v>
      </c>
      <c r="C96" s="737"/>
      <c r="D96" s="737"/>
      <c r="E96" s="737"/>
      <c r="F96" s="737"/>
      <c r="G96" s="737"/>
      <c r="H96" s="737"/>
      <c r="I96" s="737"/>
      <c r="J96" s="525"/>
      <c r="K96" s="517"/>
      <c r="L96" s="132">
        <f>IF(ЭЗ!E338&lt;&gt;"",ЭЗ!E338,"")</f>
      </c>
      <c r="M96" s="132"/>
      <c r="N96" s="564"/>
      <c r="O96" s="569"/>
      <c r="P96" s="570"/>
      <c r="Q96" s="520"/>
      <c r="R96" s="401"/>
    </row>
    <row r="97" spans="1:18" s="543" customFormat="1" ht="1.5" customHeight="1">
      <c r="A97" s="571" t="s">
        <v>158</v>
      </c>
      <c r="B97" s="568"/>
      <c r="C97" s="568"/>
      <c r="D97" s="568"/>
      <c r="E97" s="568"/>
      <c r="F97" s="568"/>
      <c r="G97" s="568"/>
      <c r="H97" s="568"/>
      <c r="I97" s="568"/>
      <c r="J97" s="525"/>
      <c r="K97" s="517"/>
      <c r="L97" s="132"/>
      <c r="M97" s="132"/>
      <c r="N97" s="551"/>
      <c r="O97" s="569"/>
      <c r="P97" s="570"/>
      <c r="Q97" s="520"/>
      <c r="R97" s="401"/>
    </row>
    <row r="98" spans="1:18" s="543" customFormat="1" ht="15.75">
      <c r="A98" s="572" t="s">
        <v>538</v>
      </c>
      <c r="C98" s="134"/>
      <c r="E98" s="573"/>
      <c r="F98" s="553">
        <f>IF('общие сведения'!K25&lt;&gt;"",'общие сведения'!K25,"")</f>
      </c>
      <c r="J98" s="540"/>
      <c r="K98" s="517"/>
      <c r="L98" s="556"/>
      <c r="M98" s="92"/>
      <c r="N98" s="562"/>
      <c r="O98" s="353"/>
      <c r="P98" s="555"/>
      <c r="Q98" s="520"/>
      <c r="R98" s="401"/>
    </row>
    <row r="99" spans="2:18" s="543" customFormat="1" ht="15.75">
      <c r="B99" s="353"/>
      <c r="C99" s="441"/>
      <c r="D99" s="738" t="s">
        <v>147</v>
      </c>
      <c r="E99" s="738"/>
      <c r="F99" s="738" t="s">
        <v>148</v>
      </c>
      <c r="G99" s="738"/>
      <c r="H99" s="738"/>
      <c r="I99" s="738"/>
      <c r="J99" s="525"/>
      <c r="K99" s="517"/>
      <c r="L99" s="556"/>
      <c r="M99" s="564"/>
      <c r="N99" s="562"/>
      <c r="O99" s="562"/>
      <c r="P99" s="562"/>
      <c r="Q99" s="520"/>
      <c r="R99" s="562"/>
    </row>
    <row r="100" spans="1:18" s="518" customFormat="1" ht="1.5" customHeight="1">
      <c r="A100" s="128"/>
      <c r="B100" s="346"/>
      <c r="C100" s="346"/>
      <c r="D100" s="441"/>
      <c r="E100" s="526"/>
      <c r="F100" s="526"/>
      <c r="G100" s="526"/>
      <c r="H100" s="526"/>
      <c r="I100" s="526"/>
      <c r="J100" s="525"/>
      <c r="K100" s="517"/>
      <c r="Q100" s="520"/>
      <c r="R100" s="519"/>
    </row>
    <row r="101" spans="1:57" s="518" customFormat="1" ht="15">
      <c r="A101" s="984" t="s">
        <v>539</v>
      </c>
      <c r="B101" s="984"/>
      <c r="C101" s="984"/>
      <c r="D101" s="984"/>
      <c r="E101" s="984"/>
      <c r="F101" s="984"/>
      <c r="G101" s="984"/>
      <c r="H101" s="984"/>
      <c r="I101" s="984"/>
      <c r="J101" s="984"/>
      <c r="K101" s="517"/>
      <c r="L101" s="7"/>
      <c r="M101" s="7"/>
      <c r="N101" s="7"/>
      <c r="O101" s="7"/>
      <c r="P101" s="7"/>
      <c r="Q101" s="520"/>
      <c r="R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11" s="435" customFormat="1" ht="28.5" customHeight="1">
      <c r="A102" s="983" t="str">
        <f>K34</f>
        <v>концертмейстера</v>
      </c>
      <c r="B102" s="984"/>
      <c r="C102" s="984"/>
      <c r="D102" s="984"/>
      <c r="E102" s="984"/>
      <c r="F102" s="984"/>
      <c r="G102" s="984"/>
      <c r="H102" s="984"/>
      <c r="I102" s="984"/>
      <c r="J102" s="984"/>
      <c r="K102" s="427"/>
    </row>
    <row r="103" spans="1:11" s="6" customFormat="1" ht="20.25" customHeight="1">
      <c r="A103" s="4" t="s">
        <v>540</v>
      </c>
      <c r="B103" s="1059" t="s">
        <v>353</v>
      </c>
      <c r="C103" s="1059"/>
      <c r="D103" s="1059"/>
      <c r="E103" s="1059"/>
      <c r="F103" s="1059"/>
      <c r="G103" s="1059"/>
      <c r="H103" s="1059"/>
      <c r="I103" s="1059"/>
      <c r="J103" s="343"/>
      <c r="K103" s="350"/>
    </row>
    <row r="104" spans="1:11" s="6" customFormat="1" ht="13.5" customHeight="1">
      <c r="A104" s="345" t="s">
        <v>350</v>
      </c>
      <c r="B104" s="346"/>
      <c r="C104" s="342"/>
      <c r="D104" s="342"/>
      <c r="E104" s="342"/>
      <c r="F104" s="342"/>
      <c r="G104" s="342"/>
      <c r="H104" s="342"/>
      <c r="I104" s="342"/>
      <c r="J104" s="344"/>
      <c r="K104" s="350"/>
    </row>
    <row r="105" spans="1:15" ht="15" customHeight="1">
      <c r="A105" s="9" t="s">
        <v>141</v>
      </c>
      <c r="B105" s="942" t="s">
        <v>351</v>
      </c>
      <c r="C105" s="942"/>
      <c r="D105" s="942"/>
      <c r="E105" s="942"/>
      <c r="F105" s="942"/>
      <c r="G105" s="942"/>
      <c r="H105" s="942"/>
      <c r="I105" s="942"/>
      <c r="J105" s="942"/>
      <c r="K105" s="350"/>
      <c r="L105" s="3"/>
      <c r="M105" s="3"/>
      <c r="N105" s="3"/>
      <c r="O105" s="3"/>
    </row>
    <row r="106" spans="2:15" ht="15">
      <c r="B106" s="942"/>
      <c r="C106" s="942"/>
      <c r="D106" s="942"/>
      <c r="E106" s="942"/>
      <c r="F106" s="942"/>
      <c r="G106" s="942"/>
      <c r="H106" s="942"/>
      <c r="I106" s="942"/>
      <c r="J106" s="942"/>
      <c r="K106" s="350"/>
      <c r="L106" s="3"/>
      <c r="M106" s="3"/>
      <c r="N106" s="3"/>
      <c r="O106" s="3"/>
    </row>
    <row r="107" spans="2:15" ht="15" customHeight="1">
      <c r="B107" s="942"/>
      <c r="C107" s="942"/>
      <c r="D107" s="942"/>
      <c r="E107" s="942"/>
      <c r="F107" s="942"/>
      <c r="G107" s="942"/>
      <c r="H107" s="942"/>
      <c r="I107" s="942"/>
      <c r="J107" s="942"/>
      <c r="K107" s="350"/>
      <c r="L107" s="3"/>
      <c r="M107" s="3"/>
      <c r="N107" s="3"/>
      <c r="O107" s="3"/>
    </row>
    <row r="108" spans="1:15" ht="11.25" customHeight="1">
      <c r="A108" s="9" t="s">
        <v>141</v>
      </c>
      <c r="B108" s="942" t="s">
        <v>352</v>
      </c>
      <c r="C108" s="942"/>
      <c r="D108" s="942"/>
      <c r="E108" s="942"/>
      <c r="F108" s="942"/>
      <c r="G108" s="942"/>
      <c r="H108" s="942"/>
      <c r="I108" s="942"/>
      <c r="J108" s="942"/>
      <c r="K108" s="350"/>
      <c r="L108" s="3"/>
      <c r="M108" s="3"/>
      <c r="N108" s="3"/>
      <c r="O108" s="3"/>
    </row>
    <row r="109" spans="1:15" ht="10.5" customHeight="1">
      <c r="A109" s="10"/>
      <c r="B109" s="942"/>
      <c r="C109" s="942"/>
      <c r="D109" s="942"/>
      <c r="E109" s="942"/>
      <c r="F109" s="942"/>
      <c r="G109" s="942"/>
      <c r="H109" s="942"/>
      <c r="I109" s="942"/>
      <c r="J109" s="942"/>
      <c r="K109" s="350"/>
      <c r="L109" s="3"/>
      <c r="M109" s="3"/>
      <c r="N109" s="3"/>
      <c r="O109" s="3"/>
    </row>
    <row r="110" spans="1:15" ht="7.5" customHeight="1">
      <c r="A110" s="10"/>
      <c r="B110" s="942"/>
      <c r="C110" s="942"/>
      <c r="D110" s="942"/>
      <c r="E110" s="942"/>
      <c r="F110" s="942"/>
      <c r="G110" s="942"/>
      <c r="H110" s="942"/>
      <c r="I110" s="942"/>
      <c r="J110" s="942"/>
      <c r="K110" s="350"/>
      <c r="L110" s="3"/>
      <c r="M110" s="3"/>
      <c r="N110" s="3"/>
      <c r="O110" s="3"/>
    </row>
    <row r="111" spans="1:15" ht="2.25" customHeight="1">
      <c r="A111" s="10"/>
      <c r="B111" s="942"/>
      <c r="C111" s="942"/>
      <c r="D111" s="942"/>
      <c r="E111" s="942"/>
      <c r="F111" s="942"/>
      <c r="G111" s="942"/>
      <c r="H111" s="942"/>
      <c r="I111" s="942"/>
      <c r="J111" s="942"/>
      <c r="K111" s="350"/>
      <c r="L111" s="3"/>
      <c r="M111" s="3"/>
      <c r="N111" s="3"/>
      <c r="O111" s="3"/>
    </row>
    <row r="112" spans="1:15" ht="2.25" customHeight="1">
      <c r="A112" s="363"/>
      <c r="B112" s="1081"/>
      <c r="C112" s="1081"/>
      <c r="D112" s="1081"/>
      <c r="E112" s="1081"/>
      <c r="F112" s="1081"/>
      <c r="G112" s="1081"/>
      <c r="H112" s="1081"/>
      <c r="I112" s="1081"/>
      <c r="J112" s="1081"/>
      <c r="K112" s="350"/>
      <c r="L112" s="3"/>
      <c r="M112" s="3"/>
      <c r="N112" s="3"/>
      <c r="O112" s="3"/>
    </row>
    <row r="113" spans="1:15" ht="8.25" customHeight="1">
      <c r="A113" s="364"/>
      <c r="B113" s="1081"/>
      <c r="C113" s="1081"/>
      <c r="D113" s="1081"/>
      <c r="E113" s="1081"/>
      <c r="F113" s="1081"/>
      <c r="G113" s="1081"/>
      <c r="H113" s="1081"/>
      <c r="I113" s="1081"/>
      <c r="J113" s="1081"/>
      <c r="K113" s="350"/>
      <c r="L113" s="3"/>
      <c r="M113" s="3"/>
      <c r="N113" s="3"/>
      <c r="O113" s="3"/>
    </row>
    <row r="114" spans="1:15" ht="8.25" customHeight="1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50"/>
      <c r="L114" s="3"/>
      <c r="M114" s="3"/>
      <c r="N114" s="3"/>
      <c r="O114" s="3"/>
    </row>
    <row r="115" spans="1:15" ht="15.75" customHeight="1">
      <c r="A115" s="909" t="s">
        <v>157</v>
      </c>
      <c r="B115" s="714" t="s">
        <v>119</v>
      </c>
      <c r="C115" s="716"/>
      <c r="D115" s="831" t="s">
        <v>249</v>
      </c>
      <c r="E115" s="746" t="s">
        <v>120</v>
      </c>
      <c r="F115" s="747"/>
      <c r="G115" s="747"/>
      <c r="H115" s="747"/>
      <c r="I115" s="747"/>
      <c r="J115" s="748"/>
      <c r="K115" s="350"/>
      <c r="M115" s="511" t="s">
        <v>159</v>
      </c>
      <c r="N115" s="512"/>
      <c r="O115" s="3"/>
    </row>
    <row r="116" spans="1:15" ht="12.75" customHeight="1">
      <c r="A116" s="910"/>
      <c r="B116" s="717"/>
      <c r="C116" s="719"/>
      <c r="D116" s="832"/>
      <c r="E116" s="797" t="s">
        <v>129</v>
      </c>
      <c r="F116" s="798"/>
      <c r="G116" s="798"/>
      <c r="H116" s="798"/>
      <c r="I116" s="798"/>
      <c r="J116" s="799"/>
      <c r="K116" s="350"/>
      <c r="L116" s="513" t="s">
        <v>518</v>
      </c>
      <c r="M116" s="514"/>
      <c r="N116" s="514" t="s">
        <v>160</v>
      </c>
      <c r="O116" s="3"/>
    </row>
    <row r="117" spans="1:16" ht="14.25">
      <c r="A117" s="911"/>
      <c r="B117" s="720"/>
      <c r="C117" s="722"/>
      <c r="D117" s="833"/>
      <c r="E117" s="1070">
        <v>0</v>
      </c>
      <c r="F117" s="1070"/>
      <c r="G117" s="1058" t="s">
        <v>363</v>
      </c>
      <c r="H117" s="814"/>
      <c r="I117" s="1058" t="s">
        <v>49</v>
      </c>
      <c r="J117" s="814"/>
      <c r="K117" s="350"/>
      <c r="M117" s="376"/>
      <c r="N117" s="377" t="s">
        <v>519</v>
      </c>
      <c r="O117" s="378">
        <f>SUM(L118:L134)</f>
        <v>0</v>
      </c>
      <c r="P117" s="50"/>
    </row>
    <row r="118" spans="1:11" ht="64.5" customHeight="1">
      <c r="A118" s="849" t="s">
        <v>364</v>
      </c>
      <c r="B118" s="723" t="s">
        <v>454</v>
      </c>
      <c r="C118" s="880"/>
      <c r="D118" s="875" t="s">
        <v>455</v>
      </c>
      <c r="E118" s="990" t="s">
        <v>453</v>
      </c>
      <c r="F118" s="991"/>
      <c r="G118" s="990" t="s">
        <v>456</v>
      </c>
      <c r="H118" s="991"/>
      <c r="I118" s="990" t="s">
        <v>457</v>
      </c>
      <c r="J118" s="991"/>
      <c r="K118" s="350"/>
    </row>
    <row r="119" spans="1:14" ht="12.75" customHeight="1">
      <c r="A119" s="850"/>
      <c r="B119" s="881"/>
      <c r="C119" s="882"/>
      <c r="D119" s="876"/>
      <c r="E119" s="1062">
        <f>IF(AND(G119="",I119=""),IF(fio="","",0),"")</f>
      </c>
      <c r="F119" s="1063"/>
      <c r="G119" s="944"/>
      <c r="H119" s="945"/>
      <c r="I119" s="944"/>
      <c r="J119" s="945"/>
      <c r="K119" s="350"/>
      <c r="M119" s="39"/>
      <c r="N119" s="40"/>
    </row>
    <row r="120" spans="1:14" ht="12.75" customHeight="1">
      <c r="A120" s="851"/>
      <c r="B120" s="883"/>
      <c r="C120" s="884"/>
      <c r="D120" s="877"/>
      <c r="E120" s="1064"/>
      <c r="F120" s="1065"/>
      <c r="G120" s="946"/>
      <c r="H120" s="947"/>
      <c r="I120" s="946"/>
      <c r="J120" s="947"/>
      <c r="K120" s="350"/>
      <c r="L120" s="38">
        <f>MAX(E119:J120)</f>
        <v>0</v>
      </c>
      <c r="M120" s="39">
        <v>100</v>
      </c>
      <c r="N120" s="40"/>
    </row>
    <row r="121" spans="1:18" ht="58.5" customHeight="1">
      <c r="A121" s="897" t="s">
        <v>365</v>
      </c>
      <c r="B121" s="893" t="s">
        <v>458</v>
      </c>
      <c r="C121" s="937"/>
      <c r="D121" s="1004" t="s">
        <v>568</v>
      </c>
      <c r="E121" s="1026" t="s">
        <v>459</v>
      </c>
      <c r="F121" s="1027"/>
      <c r="G121" s="1007" t="s">
        <v>268</v>
      </c>
      <c r="H121" s="1007"/>
      <c r="I121" s="1007" t="s">
        <v>269</v>
      </c>
      <c r="J121" s="1007"/>
      <c r="K121" s="350"/>
      <c r="M121" s="48"/>
      <c r="N121" s="49"/>
      <c r="O121" s="3"/>
      <c r="R121" s="172"/>
    </row>
    <row r="122" spans="1:18" ht="12.75" customHeight="1">
      <c r="A122" s="898"/>
      <c r="B122" s="938"/>
      <c r="C122" s="939"/>
      <c r="D122" s="1005"/>
      <c r="E122" s="760">
        <f>IF(AND(G122="",I122=""),IF(fio="","",0),"")</f>
      </c>
      <c r="F122" s="761"/>
      <c r="G122" s="944"/>
      <c r="H122" s="945"/>
      <c r="I122" s="944"/>
      <c r="J122" s="945"/>
      <c r="K122" s="350"/>
      <c r="L122" s="38">
        <f>MAX(E122:J123)</f>
        <v>0</v>
      </c>
      <c r="M122" s="48">
        <v>100</v>
      </c>
      <c r="N122" s="49"/>
      <c r="O122" s="3"/>
      <c r="R122" s="172"/>
    </row>
    <row r="123" spans="1:18" ht="12.75" customHeight="1">
      <c r="A123" s="899"/>
      <c r="B123" s="940"/>
      <c r="C123" s="941"/>
      <c r="D123" s="1006"/>
      <c r="E123" s="762"/>
      <c r="F123" s="763"/>
      <c r="G123" s="946"/>
      <c r="H123" s="947"/>
      <c r="I123" s="946"/>
      <c r="J123" s="947"/>
      <c r="K123" s="350"/>
      <c r="M123" s="48"/>
      <c r="N123" s="49"/>
      <c r="O123" s="3"/>
      <c r="R123" s="172"/>
    </row>
    <row r="124" spans="1:15" s="13" customFormat="1" ht="14.25" customHeight="1">
      <c r="A124" s="1082" t="s">
        <v>157</v>
      </c>
      <c r="B124" s="714" t="s">
        <v>119</v>
      </c>
      <c r="C124" s="715"/>
      <c r="D124" s="715"/>
      <c r="E124" s="715"/>
      <c r="F124" s="716"/>
      <c r="G124" s="746" t="s">
        <v>120</v>
      </c>
      <c r="H124" s="747"/>
      <c r="I124" s="747"/>
      <c r="J124" s="748"/>
      <c r="K124" s="350"/>
      <c r="L124" s="38"/>
      <c r="M124" s="39"/>
      <c r="N124" s="40"/>
      <c r="O124" s="138"/>
    </row>
    <row r="125" spans="1:17" s="13" customFormat="1" ht="12.75" customHeight="1">
      <c r="A125" s="1083"/>
      <c r="B125" s="717"/>
      <c r="C125" s="718"/>
      <c r="D125" s="718"/>
      <c r="E125" s="718"/>
      <c r="F125" s="719"/>
      <c r="G125" s="797" t="s">
        <v>267</v>
      </c>
      <c r="H125" s="798"/>
      <c r="I125" s="798"/>
      <c r="J125" s="799"/>
      <c r="K125" s="350"/>
      <c r="L125" s="38"/>
      <c r="M125" s="39"/>
      <c r="N125" s="40"/>
      <c r="O125" s="138"/>
      <c r="P125" s="47"/>
      <c r="Q125" s="47"/>
    </row>
    <row r="126" spans="1:15" s="13" customFormat="1" ht="12.75" customHeight="1">
      <c r="A126" s="1084"/>
      <c r="B126" s="720"/>
      <c r="C126" s="721"/>
      <c r="D126" s="721"/>
      <c r="E126" s="721"/>
      <c r="F126" s="722"/>
      <c r="G126" s="2">
        <v>0</v>
      </c>
      <c r="H126" s="407">
        <v>50</v>
      </c>
      <c r="I126" s="407">
        <v>100</v>
      </c>
      <c r="J126" s="407">
        <v>200</v>
      </c>
      <c r="K126" s="350"/>
      <c r="L126" s="38"/>
      <c r="M126" s="39"/>
      <c r="N126" s="40"/>
      <c r="O126" s="138"/>
    </row>
    <row r="127" spans="1:14" ht="12.75" customHeight="1">
      <c r="A127" s="966" t="s">
        <v>366</v>
      </c>
      <c r="B127" s="723" t="s">
        <v>476</v>
      </c>
      <c r="C127" s="724"/>
      <c r="D127" s="724"/>
      <c r="E127" s="724"/>
      <c r="F127" s="725"/>
      <c r="G127" s="932" t="s">
        <v>417</v>
      </c>
      <c r="H127" s="711" t="s">
        <v>418</v>
      </c>
      <c r="I127" s="711" t="s">
        <v>419</v>
      </c>
      <c r="J127" s="711" t="s">
        <v>420</v>
      </c>
      <c r="K127" s="350"/>
      <c r="M127" s="39"/>
      <c r="N127" s="40"/>
    </row>
    <row r="128" spans="1:14" ht="12.75" customHeight="1">
      <c r="A128" s="967"/>
      <c r="B128" s="726"/>
      <c r="C128" s="727"/>
      <c r="D128" s="727"/>
      <c r="E128" s="727"/>
      <c r="F128" s="728"/>
      <c r="G128" s="933"/>
      <c r="H128" s="712"/>
      <c r="I128" s="712"/>
      <c r="J128" s="712"/>
      <c r="K128" s="350"/>
      <c r="M128" s="39"/>
      <c r="N128" s="40"/>
    </row>
    <row r="129" spans="1:14" ht="12.75" customHeight="1">
      <c r="A129" s="967"/>
      <c r="B129" s="726"/>
      <c r="C129" s="727"/>
      <c r="D129" s="727"/>
      <c r="E129" s="727"/>
      <c r="F129" s="728"/>
      <c r="G129" s="933"/>
      <c r="H129" s="712"/>
      <c r="I129" s="712"/>
      <c r="J129" s="712"/>
      <c r="K129" s="350"/>
      <c r="M129" s="39"/>
      <c r="N129" s="40"/>
    </row>
    <row r="130" spans="1:14" ht="12.75" customHeight="1">
      <c r="A130" s="967"/>
      <c r="B130" s="726"/>
      <c r="C130" s="727"/>
      <c r="D130" s="727"/>
      <c r="E130" s="727"/>
      <c r="F130" s="728"/>
      <c r="G130" s="933"/>
      <c r="H130" s="712"/>
      <c r="I130" s="712"/>
      <c r="J130" s="712"/>
      <c r="K130" s="350"/>
      <c r="M130" s="39"/>
      <c r="N130" s="40"/>
    </row>
    <row r="131" spans="1:14" ht="10.5" customHeight="1">
      <c r="A131" s="967"/>
      <c r="B131" s="726"/>
      <c r="C131" s="727"/>
      <c r="D131" s="727"/>
      <c r="E131" s="727"/>
      <c r="F131" s="728"/>
      <c r="G131" s="933"/>
      <c r="H131" s="712"/>
      <c r="I131" s="712"/>
      <c r="J131" s="712"/>
      <c r="K131" s="350"/>
      <c r="M131" s="39"/>
      <c r="N131" s="40"/>
    </row>
    <row r="132" spans="1:14" ht="10.5" customHeight="1">
      <c r="A132" s="967"/>
      <c r="B132" s="726"/>
      <c r="C132" s="727"/>
      <c r="D132" s="727"/>
      <c r="E132" s="727"/>
      <c r="F132" s="728"/>
      <c r="G132" s="933"/>
      <c r="H132" s="713"/>
      <c r="I132" s="713"/>
      <c r="J132" s="713"/>
      <c r="K132" s="350"/>
      <c r="M132" s="39"/>
      <c r="N132" s="40"/>
    </row>
    <row r="133" spans="1:15" s="408" customFormat="1" ht="12.75" customHeight="1">
      <c r="A133" s="967"/>
      <c r="B133" s="726"/>
      <c r="C133" s="727"/>
      <c r="D133" s="727"/>
      <c r="E133" s="727"/>
      <c r="F133" s="728"/>
      <c r="G133" s="742">
        <f>IF(AND(H133="",I133="",J133=""),IF(fio="","",0),"")</f>
      </c>
      <c r="H133" s="878"/>
      <c r="I133" s="878"/>
      <c r="J133" s="878"/>
      <c r="K133" s="350"/>
      <c r="L133" s="321">
        <f>MAX(G133:J134)</f>
        <v>0</v>
      </c>
      <c r="M133" s="322">
        <v>200</v>
      </c>
      <c r="N133" s="323"/>
      <c r="O133" s="409"/>
    </row>
    <row r="134" spans="1:15" s="408" customFormat="1" ht="12.75" customHeight="1">
      <c r="A134" s="968"/>
      <c r="B134" s="1107"/>
      <c r="C134" s="1108"/>
      <c r="D134" s="1108"/>
      <c r="E134" s="1108"/>
      <c r="F134" s="1109"/>
      <c r="G134" s="743"/>
      <c r="H134" s="879"/>
      <c r="I134" s="879"/>
      <c r="J134" s="879"/>
      <c r="K134" s="350"/>
      <c r="L134" s="321"/>
      <c r="M134" s="322"/>
      <c r="N134" s="323"/>
      <c r="O134" s="409"/>
    </row>
    <row r="135" spans="1:63" s="374" customFormat="1" ht="36" customHeight="1">
      <c r="A135" s="4" t="s">
        <v>541</v>
      </c>
      <c r="B135" s="1059" t="s">
        <v>367</v>
      </c>
      <c r="C135" s="1059"/>
      <c r="D135" s="1059"/>
      <c r="E135" s="1059"/>
      <c r="F135" s="1059"/>
      <c r="G135" s="1059"/>
      <c r="H135" s="1059"/>
      <c r="I135" s="1059"/>
      <c r="J135" s="172"/>
      <c r="K135" s="350"/>
      <c r="L135" s="351"/>
      <c r="M135" s="376"/>
      <c r="N135" s="377" t="s">
        <v>368</v>
      </c>
      <c r="O135" s="378">
        <f>SUM(L136:L176)</f>
        <v>0</v>
      </c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F135" s="375"/>
      <c r="BH135" s="376"/>
      <c r="BI135" s="377" t="s">
        <v>368</v>
      </c>
      <c r="BJ135" s="378">
        <f>SUM(BG136:BG350)</f>
        <v>0</v>
      </c>
      <c r="BK135" s="379"/>
    </row>
    <row r="136" spans="1:62" ht="15" customHeight="1">
      <c r="A136" s="345" t="s">
        <v>350</v>
      </c>
      <c r="B136" s="3"/>
      <c r="C136" s="353"/>
      <c r="D136" s="354"/>
      <c r="E136" s="354"/>
      <c r="F136" s="354"/>
      <c r="G136" s="354"/>
      <c r="H136" s="354"/>
      <c r="I136" s="354"/>
      <c r="J136" s="172"/>
      <c r="K136" s="350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  <c r="BE136" s="353"/>
      <c r="BF136" s="375"/>
      <c r="BG136" s="38"/>
      <c r="BH136" s="38"/>
      <c r="BI136" s="38"/>
      <c r="BJ136" s="138"/>
    </row>
    <row r="137" spans="1:62" ht="12.75" customHeight="1">
      <c r="A137" s="355" t="s">
        <v>141</v>
      </c>
      <c r="B137" s="942" t="s">
        <v>369</v>
      </c>
      <c r="C137" s="942"/>
      <c r="D137" s="942"/>
      <c r="E137" s="942"/>
      <c r="F137" s="942"/>
      <c r="G137" s="942"/>
      <c r="H137" s="942"/>
      <c r="I137" s="942"/>
      <c r="J137" s="942"/>
      <c r="K137" s="350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47"/>
      <c r="BF137" s="375"/>
      <c r="BG137" s="38"/>
      <c r="BH137" s="38"/>
      <c r="BI137" s="38"/>
      <c r="BJ137" s="138"/>
    </row>
    <row r="138" spans="1:62" ht="18" customHeight="1">
      <c r="A138" s="355"/>
      <c r="B138" s="942"/>
      <c r="C138" s="942"/>
      <c r="D138" s="942"/>
      <c r="E138" s="942"/>
      <c r="F138" s="942"/>
      <c r="G138" s="942"/>
      <c r="H138" s="942"/>
      <c r="I138" s="942"/>
      <c r="J138" s="942"/>
      <c r="K138" s="350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7"/>
      <c r="BD138" s="347"/>
      <c r="BF138" s="375"/>
      <c r="BG138" s="38"/>
      <c r="BH138" s="38"/>
      <c r="BI138" s="38"/>
      <c r="BJ138" s="138"/>
    </row>
    <row r="139" spans="1:62" ht="12.75" customHeight="1">
      <c r="A139" s="355" t="s">
        <v>141</v>
      </c>
      <c r="B139" s="1044" t="s">
        <v>370</v>
      </c>
      <c r="C139" s="1044"/>
      <c r="D139" s="1044"/>
      <c r="E139" s="1044"/>
      <c r="F139" s="1044"/>
      <c r="G139" s="1044"/>
      <c r="H139" s="1044"/>
      <c r="I139" s="1044"/>
      <c r="J139" s="1044"/>
      <c r="K139" s="350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F139" s="375"/>
      <c r="BG139" s="38"/>
      <c r="BH139" s="38"/>
      <c r="BI139" s="38"/>
      <c r="BJ139" s="138"/>
    </row>
    <row r="140" spans="1:62" ht="12.75" customHeight="1">
      <c r="A140" s="380"/>
      <c r="B140" s="1044"/>
      <c r="C140" s="1044"/>
      <c r="D140" s="1044"/>
      <c r="E140" s="1044"/>
      <c r="F140" s="1044"/>
      <c r="G140" s="1044"/>
      <c r="H140" s="1044"/>
      <c r="I140" s="1044"/>
      <c r="J140" s="1044"/>
      <c r="K140" s="350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F140" s="375"/>
      <c r="BG140" s="38"/>
      <c r="BJ140" s="138"/>
    </row>
    <row r="141" spans="1:62" ht="18" customHeight="1">
      <c r="A141" s="381"/>
      <c r="B141" s="1044"/>
      <c r="C141" s="1044"/>
      <c r="D141" s="1044"/>
      <c r="E141" s="1044"/>
      <c r="F141" s="1044"/>
      <c r="G141" s="1044"/>
      <c r="H141" s="1044"/>
      <c r="I141" s="1044"/>
      <c r="J141" s="1044"/>
      <c r="K141" s="350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F141" s="375"/>
      <c r="BG141" s="38"/>
      <c r="BJ141" s="138"/>
    </row>
    <row r="142" spans="1:62" s="379" customFormat="1" ht="14.25">
      <c r="A142" s="382"/>
      <c r="B142" s="383"/>
      <c r="C142" s="384"/>
      <c r="D142" s="384"/>
      <c r="E142" s="384"/>
      <c r="F142" s="384"/>
      <c r="G142" s="384"/>
      <c r="H142" s="384"/>
      <c r="I142" s="384"/>
      <c r="J142" s="172"/>
      <c r="K142" s="350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75"/>
      <c r="BG142" s="385"/>
      <c r="BJ142" s="386"/>
    </row>
    <row r="143" spans="1:14" ht="12.75" customHeight="1">
      <c r="A143" s="909" t="s">
        <v>157</v>
      </c>
      <c r="B143" s="714" t="s">
        <v>119</v>
      </c>
      <c r="C143" s="716"/>
      <c r="D143" s="831" t="s">
        <v>240</v>
      </c>
      <c r="E143" s="746" t="s">
        <v>120</v>
      </c>
      <c r="F143" s="747"/>
      <c r="G143" s="747"/>
      <c r="H143" s="747"/>
      <c r="I143" s="747"/>
      <c r="J143" s="748"/>
      <c r="K143" s="350"/>
      <c r="M143" s="39"/>
      <c r="N143" s="40"/>
    </row>
    <row r="144" spans="1:14" ht="14.25">
      <c r="A144" s="910"/>
      <c r="B144" s="717"/>
      <c r="C144" s="719"/>
      <c r="D144" s="832"/>
      <c r="E144" s="797" t="s">
        <v>121</v>
      </c>
      <c r="F144" s="798"/>
      <c r="G144" s="798"/>
      <c r="H144" s="798"/>
      <c r="I144" s="798"/>
      <c r="J144" s="799"/>
      <c r="K144" s="350"/>
      <c r="M144" s="39"/>
      <c r="N144" s="40"/>
    </row>
    <row r="145" spans="1:14" ht="12.75" customHeight="1">
      <c r="A145" s="911"/>
      <c r="B145" s="720"/>
      <c r="C145" s="722"/>
      <c r="D145" s="833"/>
      <c r="E145" s="2">
        <v>0</v>
      </c>
      <c r="F145" s="12" t="s">
        <v>270</v>
      </c>
      <c r="G145" s="12" t="s">
        <v>168</v>
      </c>
      <c r="H145" s="12" t="s">
        <v>271</v>
      </c>
      <c r="I145" s="12" t="s">
        <v>272</v>
      </c>
      <c r="J145" s="12" t="s">
        <v>273</v>
      </c>
      <c r="K145" s="350"/>
      <c r="M145" s="39"/>
      <c r="N145" s="40"/>
    </row>
    <row r="146" spans="1:14" ht="12.75" customHeight="1">
      <c r="A146" s="849" t="s">
        <v>123</v>
      </c>
      <c r="B146" s="723" t="s">
        <v>473</v>
      </c>
      <c r="C146" s="880"/>
      <c r="D146" s="875" t="s">
        <v>248</v>
      </c>
      <c r="E146" s="932" t="s">
        <v>124</v>
      </c>
      <c r="F146" s="333" t="s">
        <v>227</v>
      </c>
      <c r="G146" s="231" t="s">
        <v>274</v>
      </c>
      <c r="H146" s="234" t="s">
        <v>275</v>
      </c>
      <c r="I146" s="231" t="s">
        <v>126</v>
      </c>
      <c r="J146" s="233" t="s">
        <v>285</v>
      </c>
      <c r="K146" s="350"/>
      <c r="M146" s="39"/>
      <c r="N146" s="40"/>
    </row>
    <row r="147" spans="1:14" ht="12.75" customHeight="1">
      <c r="A147" s="850"/>
      <c r="B147" s="881"/>
      <c r="C147" s="882"/>
      <c r="D147" s="876"/>
      <c r="E147" s="933"/>
      <c r="F147" s="334" t="s">
        <v>371</v>
      </c>
      <c r="G147" s="232" t="s">
        <v>125</v>
      </c>
      <c r="H147" s="235" t="s">
        <v>125</v>
      </c>
      <c r="I147" s="898" t="s">
        <v>125</v>
      </c>
      <c r="J147" s="1045" t="s">
        <v>125</v>
      </c>
      <c r="K147" s="350"/>
      <c r="M147" s="39"/>
      <c r="N147" s="40"/>
    </row>
    <row r="148" spans="1:14" ht="6" customHeight="1">
      <c r="A148" s="850"/>
      <c r="B148" s="881"/>
      <c r="C148" s="882"/>
      <c r="D148" s="876"/>
      <c r="E148" s="933"/>
      <c r="F148" s="334"/>
      <c r="G148" s="336"/>
      <c r="H148" s="337"/>
      <c r="I148" s="898"/>
      <c r="J148" s="1045"/>
      <c r="K148" s="350"/>
      <c r="M148" s="39"/>
      <c r="N148" s="40"/>
    </row>
    <row r="149" spans="1:14" ht="33.75" customHeight="1">
      <c r="A149" s="850"/>
      <c r="B149" s="881"/>
      <c r="C149" s="882"/>
      <c r="D149" s="876"/>
      <c r="E149" s="933"/>
      <c r="F149" s="328" t="s">
        <v>172</v>
      </c>
      <c r="G149" s="328" t="s">
        <v>172</v>
      </c>
      <c r="H149" s="328" t="s">
        <v>172</v>
      </c>
      <c r="I149" s="328" t="s">
        <v>172</v>
      </c>
      <c r="J149" s="328" t="s">
        <v>172</v>
      </c>
      <c r="K149" s="350"/>
      <c r="M149" s="39"/>
      <c r="N149" s="40"/>
    </row>
    <row r="150" spans="1:14" ht="24" customHeight="1">
      <c r="A150" s="850"/>
      <c r="B150" s="881"/>
      <c r="C150" s="882"/>
      <c r="D150" s="876"/>
      <c r="E150" s="933"/>
      <c r="F150" s="1046" t="s">
        <v>336</v>
      </c>
      <c r="G150" s="236" t="s">
        <v>337</v>
      </c>
      <c r="H150" s="331" t="s">
        <v>338</v>
      </c>
      <c r="I150" s="236" t="s">
        <v>339</v>
      </c>
      <c r="J150" s="332" t="s">
        <v>340</v>
      </c>
      <c r="K150" s="350"/>
      <c r="M150" s="39"/>
      <c r="N150" s="40"/>
    </row>
    <row r="151" spans="1:14" ht="24">
      <c r="A151" s="850"/>
      <c r="B151" s="881"/>
      <c r="C151" s="882"/>
      <c r="D151" s="876"/>
      <c r="E151" s="933"/>
      <c r="F151" s="1046"/>
      <c r="G151" s="236" t="s">
        <v>341</v>
      </c>
      <c r="H151" s="331" t="s">
        <v>342</v>
      </c>
      <c r="I151" s="236" t="s">
        <v>343</v>
      </c>
      <c r="J151" s="1047" t="s">
        <v>276</v>
      </c>
      <c r="K151" s="350"/>
      <c r="M151" s="39"/>
      <c r="N151" s="40"/>
    </row>
    <row r="152" spans="1:14" ht="33" customHeight="1">
      <c r="A152" s="850"/>
      <c r="B152" s="881"/>
      <c r="C152" s="882"/>
      <c r="D152" s="876"/>
      <c r="E152" s="933"/>
      <c r="F152" s="237"/>
      <c r="G152" s="236" t="s">
        <v>277</v>
      </c>
      <c r="H152" s="331" t="s">
        <v>278</v>
      </c>
      <c r="I152" s="236" t="s">
        <v>279</v>
      </c>
      <c r="J152" s="1047"/>
      <c r="K152" s="350"/>
      <c r="M152" s="39"/>
      <c r="N152" s="40"/>
    </row>
    <row r="153" spans="1:14" ht="37.5" customHeight="1">
      <c r="A153" s="850"/>
      <c r="B153" s="881"/>
      <c r="C153" s="882"/>
      <c r="D153" s="876"/>
      <c r="E153" s="990"/>
      <c r="F153" s="335" t="s">
        <v>280</v>
      </c>
      <c r="G153" s="330" t="s">
        <v>281</v>
      </c>
      <c r="H153" s="338" t="s">
        <v>282</v>
      </c>
      <c r="I153" s="330" t="s">
        <v>283</v>
      </c>
      <c r="J153" s="339" t="s">
        <v>284</v>
      </c>
      <c r="K153" s="350"/>
      <c r="M153" s="39"/>
      <c r="N153" s="40"/>
    </row>
    <row r="154" spans="1:14" ht="14.25">
      <c r="A154" s="850"/>
      <c r="B154" s="881"/>
      <c r="C154" s="882"/>
      <c r="D154" s="876"/>
      <c r="E154" s="742">
        <f>IF(AND(F154="",G154="",H154="",I154="",J154=""),IF(fio="","",0),"")</f>
      </c>
      <c r="F154" s="740"/>
      <c r="G154" s="740"/>
      <c r="H154" s="740"/>
      <c r="I154" s="740"/>
      <c r="J154" s="740"/>
      <c r="K154" s="350"/>
      <c r="L154" s="38">
        <f>SUM(E154:J155)</f>
        <v>0</v>
      </c>
      <c r="M154" s="39">
        <v>340</v>
      </c>
      <c r="N154" s="40"/>
    </row>
    <row r="155" spans="1:14" ht="14.25">
      <c r="A155" s="851"/>
      <c r="B155" s="883"/>
      <c r="C155" s="884"/>
      <c r="D155" s="877"/>
      <c r="E155" s="743"/>
      <c r="F155" s="741"/>
      <c r="G155" s="741"/>
      <c r="H155" s="741"/>
      <c r="I155" s="741"/>
      <c r="J155" s="741"/>
      <c r="K155" s="350"/>
      <c r="M155" s="39"/>
      <c r="N155" s="40"/>
    </row>
    <row r="156" spans="1:14" ht="15.75" customHeight="1">
      <c r="A156" s="1041" t="s">
        <v>157</v>
      </c>
      <c r="B156" s="1092" t="s">
        <v>119</v>
      </c>
      <c r="C156" s="1093"/>
      <c r="D156" s="1098" t="s">
        <v>139</v>
      </c>
      <c r="E156" s="1099"/>
      <c r="F156" s="1100"/>
      <c r="G156" s="1038" t="s">
        <v>120</v>
      </c>
      <c r="H156" s="1039"/>
      <c r="I156" s="1039"/>
      <c r="J156" s="1040"/>
      <c r="K156" s="350"/>
      <c r="L156" s="20"/>
      <c r="M156" s="39"/>
      <c r="N156" s="40"/>
    </row>
    <row r="157" spans="1:14" ht="0.75" customHeight="1">
      <c r="A157" s="1042"/>
      <c r="B157" s="1094"/>
      <c r="C157" s="1095"/>
      <c r="D157" s="1101"/>
      <c r="E157" s="1102"/>
      <c r="F157" s="1103"/>
      <c r="G157" s="1017"/>
      <c r="H157" s="1018"/>
      <c r="I157" s="1018"/>
      <c r="J157" s="1019"/>
      <c r="K157" s="350"/>
      <c r="L157" s="20"/>
      <c r="M157" s="39"/>
      <c r="N157" s="40"/>
    </row>
    <row r="158" spans="1:14" ht="14.25">
      <c r="A158" s="1043"/>
      <c r="B158" s="1096"/>
      <c r="C158" s="1097"/>
      <c r="D158" s="1104"/>
      <c r="E158" s="1105"/>
      <c r="F158" s="1106"/>
      <c r="G158" s="1032">
        <v>0</v>
      </c>
      <c r="H158" s="1033"/>
      <c r="I158" s="1032">
        <v>300</v>
      </c>
      <c r="J158" s="1033"/>
      <c r="K158" s="350"/>
      <c r="L158" s="20"/>
      <c r="M158" s="39"/>
      <c r="N158" s="40"/>
    </row>
    <row r="159" spans="1:14" ht="12.75" customHeight="1">
      <c r="A159" s="1008" t="s">
        <v>130</v>
      </c>
      <c r="B159" s="1034" t="s">
        <v>373</v>
      </c>
      <c r="C159" s="1035"/>
      <c r="D159" s="1011" t="s">
        <v>484</v>
      </c>
      <c r="E159" s="1012"/>
      <c r="F159" s="1013"/>
      <c r="G159" s="1020" t="s">
        <v>251</v>
      </c>
      <c r="H159" s="1021"/>
      <c r="I159" s="1020" t="s">
        <v>372</v>
      </c>
      <c r="J159" s="1021"/>
      <c r="K159" s="350"/>
      <c r="L159" s="20"/>
      <c r="M159" s="39"/>
      <c r="N159" s="40"/>
    </row>
    <row r="160" spans="1:14" ht="12.75" customHeight="1">
      <c r="A160" s="1009"/>
      <c r="B160" s="1036"/>
      <c r="C160" s="1037"/>
      <c r="D160" s="1014"/>
      <c r="E160" s="1015"/>
      <c r="F160" s="1016"/>
      <c r="G160" s="1022"/>
      <c r="H160" s="1023"/>
      <c r="I160" s="1022"/>
      <c r="J160" s="1023"/>
      <c r="K160" s="350"/>
      <c r="L160" s="20"/>
      <c r="M160" s="39"/>
      <c r="N160" s="40"/>
    </row>
    <row r="161" spans="1:14" ht="8.25" customHeight="1">
      <c r="A161" s="1009"/>
      <c r="B161" s="1036"/>
      <c r="C161" s="1037"/>
      <c r="D161" s="1014"/>
      <c r="E161" s="1015"/>
      <c r="F161" s="1016"/>
      <c r="G161" s="1022"/>
      <c r="H161" s="1023"/>
      <c r="I161" s="1022"/>
      <c r="J161" s="1023"/>
      <c r="K161" s="350"/>
      <c r="L161" s="20"/>
      <c r="M161" s="39"/>
      <c r="N161" s="40"/>
    </row>
    <row r="162" spans="1:14" ht="3" customHeight="1">
      <c r="A162" s="1009"/>
      <c r="B162" s="1036"/>
      <c r="C162" s="1037"/>
      <c r="D162" s="1014"/>
      <c r="E162" s="1015"/>
      <c r="F162" s="1016"/>
      <c r="G162" s="1022"/>
      <c r="H162" s="1023"/>
      <c r="I162" s="1022"/>
      <c r="J162" s="1023"/>
      <c r="K162" s="350"/>
      <c r="L162" s="20"/>
      <c r="M162" s="39"/>
      <c r="N162" s="40"/>
    </row>
    <row r="163" spans="1:14" ht="12" customHeight="1">
      <c r="A163" s="1009"/>
      <c r="B163" s="1036"/>
      <c r="C163" s="1037"/>
      <c r="D163" s="1014"/>
      <c r="E163" s="1015"/>
      <c r="F163" s="1016"/>
      <c r="G163" s="1024"/>
      <c r="H163" s="1025"/>
      <c r="I163" s="1024"/>
      <c r="J163" s="1025"/>
      <c r="K163" s="350"/>
      <c r="L163" s="20"/>
      <c r="M163" s="39"/>
      <c r="N163" s="40"/>
    </row>
    <row r="164" spans="1:14" ht="12.75" customHeight="1">
      <c r="A164" s="1009"/>
      <c r="B164" s="1036"/>
      <c r="C164" s="1037"/>
      <c r="D164" s="1014"/>
      <c r="E164" s="1015"/>
      <c r="F164" s="1016"/>
      <c r="G164" s="1028">
        <f>IF(AND(I164=""),IF(fio="","",0),"")</f>
      </c>
      <c r="H164" s="1029"/>
      <c r="I164" s="1048"/>
      <c r="J164" s="1049"/>
      <c r="K164" s="350"/>
      <c r="L164" s="38">
        <f>SUM(G164:J165)</f>
        <v>0</v>
      </c>
      <c r="M164" s="39"/>
      <c r="N164" s="40">
        <v>300</v>
      </c>
    </row>
    <row r="165" spans="1:14" ht="12.75" customHeight="1">
      <c r="A165" s="1010"/>
      <c r="B165" s="732" t="s">
        <v>462</v>
      </c>
      <c r="C165" s="734"/>
      <c r="D165" s="1017"/>
      <c r="E165" s="1018"/>
      <c r="F165" s="1019"/>
      <c r="G165" s="1030"/>
      <c r="H165" s="1031"/>
      <c r="I165" s="1050"/>
      <c r="J165" s="1051"/>
      <c r="K165" s="350"/>
      <c r="M165" s="39"/>
      <c r="N165" s="40"/>
    </row>
    <row r="166" spans="1:14" ht="12.75" customHeight="1">
      <c r="A166" s="909" t="s">
        <v>157</v>
      </c>
      <c r="B166" s="714" t="s">
        <v>119</v>
      </c>
      <c r="C166" s="715"/>
      <c r="D166" s="715"/>
      <c r="E166" s="715"/>
      <c r="F166" s="716"/>
      <c r="G166" s="925" t="s">
        <v>120</v>
      </c>
      <c r="H166" s="926"/>
      <c r="I166" s="926"/>
      <c r="J166" s="927"/>
      <c r="K166" s="350"/>
      <c r="L166" s="20"/>
      <c r="M166" s="39"/>
      <c r="N166" s="40"/>
    </row>
    <row r="167" spans="1:14" ht="12.75" customHeight="1">
      <c r="A167" s="910"/>
      <c r="B167" s="717"/>
      <c r="C167" s="718"/>
      <c r="D167" s="718"/>
      <c r="E167" s="718"/>
      <c r="F167" s="719"/>
      <c r="G167" s="797"/>
      <c r="H167" s="798"/>
      <c r="I167" s="798"/>
      <c r="J167" s="799"/>
      <c r="K167" s="350"/>
      <c r="L167" s="20"/>
      <c r="M167" s="39"/>
      <c r="N167" s="40"/>
    </row>
    <row r="168" spans="1:14" ht="14.25">
      <c r="A168" s="911"/>
      <c r="B168" s="720"/>
      <c r="C168" s="721"/>
      <c r="D168" s="721"/>
      <c r="E168" s="721"/>
      <c r="F168" s="722"/>
      <c r="G168" s="813">
        <v>0</v>
      </c>
      <c r="H168" s="814"/>
      <c r="I168" s="1058" t="s">
        <v>461</v>
      </c>
      <c r="J168" s="814"/>
      <c r="K168" s="350"/>
      <c r="L168" s="20"/>
      <c r="M168" s="39"/>
      <c r="N168" s="40"/>
    </row>
    <row r="169" spans="1:14" ht="12.75" customHeight="1">
      <c r="A169" s="849" t="s">
        <v>138</v>
      </c>
      <c r="B169" s="723" t="s">
        <v>569</v>
      </c>
      <c r="C169" s="724"/>
      <c r="D169" s="724"/>
      <c r="E169" s="724"/>
      <c r="F169" s="725"/>
      <c r="G169" s="783" t="s">
        <v>286</v>
      </c>
      <c r="H169" s="784"/>
      <c r="I169" s="783" t="s">
        <v>460</v>
      </c>
      <c r="J169" s="784"/>
      <c r="K169" s="350"/>
      <c r="L169" s="20"/>
      <c r="M169" s="39"/>
      <c r="N169" s="40"/>
    </row>
    <row r="170" spans="1:14" ht="12.75" customHeight="1">
      <c r="A170" s="850"/>
      <c r="B170" s="726"/>
      <c r="C170" s="727"/>
      <c r="D170" s="727"/>
      <c r="E170" s="727"/>
      <c r="F170" s="728"/>
      <c r="G170" s="785"/>
      <c r="H170" s="786"/>
      <c r="I170" s="785"/>
      <c r="J170" s="786"/>
      <c r="K170" s="350"/>
      <c r="L170" s="20"/>
      <c r="M170" s="39"/>
      <c r="N170" s="40"/>
    </row>
    <row r="171" spans="1:14" ht="14.25">
      <c r="A171" s="850"/>
      <c r="B171" s="726"/>
      <c r="C171" s="727"/>
      <c r="D171" s="727"/>
      <c r="E171" s="727"/>
      <c r="F171" s="728"/>
      <c r="G171" s="785"/>
      <c r="H171" s="786"/>
      <c r="I171" s="785"/>
      <c r="J171" s="786"/>
      <c r="K171" s="350"/>
      <c r="L171" s="20"/>
      <c r="M171" s="39"/>
      <c r="N171" s="40"/>
    </row>
    <row r="172" spans="1:14" ht="12.75" customHeight="1">
      <c r="A172" s="850"/>
      <c r="B172" s="726"/>
      <c r="C172" s="727"/>
      <c r="D172" s="727"/>
      <c r="E172" s="727"/>
      <c r="F172" s="728"/>
      <c r="G172" s="785"/>
      <c r="H172" s="786"/>
      <c r="I172" s="785"/>
      <c r="J172" s="786"/>
      <c r="K172" s="350"/>
      <c r="L172" s="20"/>
      <c r="M172" s="39"/>
      <c r="N172" s="40"/>
    </row>
    <row r="173" spans="1:14" ht="14.25">
      <c r="A173" s="850"/>
      <c r="B173" s="729" t="s">
        <v>462</v>
      </c>
      <c r="C173" s="730"/>
      <c r="D173" s="730"/>
      <c r="E173" s="730"/>
      <c r="F173" s="731"/>
      <c r="G173" s="787"/>
      <c r="H173" s="788"/>
      <c r="I173" s="787"/>
      <c r="J173" s="788"/>
      <c r="K173" s="350"/>
      <c r="L173" s="20"/>
      <c r="M173" s="39"/>
      <c r="N173" s="40"/>
    </row>
    <row r="174" spans="1:14" ht="12.75" customHeight="1">
      <c r="A174" s="850"/>
      <c r="B174" s="729"/>
      <c r="C174" s="730"/>
      <c r="D174" s="730"/>
      <c r="E174" s="730"/>
      <c r="F174" s="731"/>
      <c r="G174" s="1062">
        <f>IF(AND(I174=""),IF(fio="","",0),"")</f>
      </c>
      <c r="H174" s="1063"/>
      <c r="I174" s="1066"/>
      <c r="J174" s="1067"/>
      <c r="K174" s="350"/>
      <c r="L174" s="38">
        <f>SUM(G174:J175)</f>
        <v>0</v>
      </c>
      <c r="M174" s="39"/>
      <c r="N174" s="40">
        <v>50</v>
      </c>
    </row>
    <row r="175" spans="1:14" ht="12.75" customHeight="1">
      <c r="A175" s="851"/>
      <c r="B175" s="732"/>
      <c r="C175" s="733"/>
      <c r="D175" s="733"/>
      <c r="E175" s="733"/>
      <c r="F175" s="734"/>
      <c r="G175" s="1064"/>
      <c r="H175" s="1065"/>
      <c r="I175" s="1068"/>
      <c r="J175" s="1069"/>
      <c r="K175" s="350"/>
      <c r="M175" s="39"/>
      <c r="N175" s="40"/>
    </row>
    <row r="176" spans="1:11" ht="90" customHeight="1">
      <c r="A176" s="75"/>
      <c r="B176" s="123"/>
      <c r="C176" s="123"/>
      <c r="D176" s="123"/>
      <c r="E176" s="53"/>
      <c r="F176" s="53"/>
      <c r="G176" s="53"/>
      <c r="H176" s="53"/>
      <c r="I176" s="53"/>
      <c r="J176" s="53"/>
      <c r="K176" s="350"/>
    </row>
    <row r="177" spans="1:11" ht="15">
      <c r="A177" s="75"/>
      <c r="B177" s="853" t="s">
        <v>135</v>
      </c>
      <c r="C177" s="853"/>
      <c r="D177" s="125"/>
      <c r="E177" s="74"/>
      <c r="F177" s="74"/>
      <c r="G177" s="74"/>
      <c r="H177" s="74"/>
      <c r="I177" s="74"/>
      <c r="J177" s="74"/>
      <c r="K177" s="350"/>
    </row>
    <row r="178" spans="1:64" s="352" customFormat="1" ht="31.5" customHeight="1">
      <c r="A178" s="351" t="s">
        <v>542</v>
      </c>
      <c r="B178" s="1059" t="s">
        <v>354</v>
      </c>
      <c r="C178" s="1059"/>
      <c r="D178" s="1059"/>
      <c r="E178" s="1059"/>
      <c r="F178" s="1059"/>
      <c r="G178" s="1059"/>
      <c r="H178" s="1059"/>
      <c r="I178" s="1059"/>
      <c r="J178" s="74"/>
      <c r="K178" s="350"/>
      <c r="L178" s="351"/>
      <c r="M178" s="508"/>
      <c r="N178" s="509" t="s">
        <v>517</v>
      </c>
      <c r="O178" s="510">
        <f>SUM(L179:L413)</f>
        <v>0</v>
      </c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25"/>
      <c r="BF178" s="25"/>
      <c r="BG178" s="25"/>
      <c r="BH178" s="25"/>
      <c r="BI178" s="25"/>
      <c r="BJ178" s="25"/>
      <c r="BK178" s="25"/>
      <c r="BL178" s="25"/>
    </row>
    <row r="179" spans="1:64" s="353" customFormat="1" ht="16.5" customHeight="1">
      <c r="A179" s="345" t="s">
        <v>350</v>
      </c>
      <c r="D179" s="354"/>
      <c r="E179" s="354"/>
      <c r="F179" s="354"/>
      <c r="G179" s="354"/>
      <c r="H179" s="354"/>
      <c r="I179" s="354"/>
      <c r="J179" s="74"/>
      <c r="K179" s="350"/>
      <c r="BE179" s="25"/>
      <c r="BF179" s="25"/>
      <c r="BG179" s="25"/>
      <c r="BH179" s="25"/>
      <c r="BI179" s="25"/>
      <c r="BJ179" s="25"/>
      <c r="BK179" s="25"/>
      <c r="BL179" s="25"/>
    </row>
    <row r="180" spans="1:64" s="353" customFormat="1" ht="12.75" customHeight="1">
      <c r="A180" s="355" t="s">
        <v>141</v>
      </c>
      <c r="B180" s="942" t="s">
        <v>355</v>
      </c>
      <c r="C180" s="942"/>
      <c r="D180" s="942"/>
      <c r="E180" s="942"/>
      <c r="F180" s="942"/>
      <c r="G180" s="942"/>
      <c r="H180" s="942"/>
      <c r="I180" s="942"/>
      <c r="J180" s="942"/>
      <c r="K180" s="350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347"/>
      <c r="BD180" s="347"/>
      <c r="BE180" s="25"/>
      <c r="BF180" s="25"/>
      <c r="BG180" s="25"/>
      <c r="BH180" s="25"/>
      <c r="BI180" s="25"/>
      <c r="BJ180" s="25"/>
      <c r="BK180" s="25"/>
      <c r="BL180" s="25"/>
    </row>
    <row r="181" spans="1:64" s="353" customFormat="1" ht="12.75" customHeight="1">
      <c r="A181" s="355"/>
      <c r="B181" s="942"/>
      <c r="C181" s="942"/>
      <c r="D181" s="942"/>
      <c r="E181" s="942"/>
      <c r="F181" s="942"/>
      <c r="G181" s="942"/>
      <c r="H181" s="942"/>
      <c r="I181" s="942"/>
      <c r="J181" s="942"/>
      <c r="K181" s="350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7"/>
      <c r="BA181" s="347"/>
      <c r="BB181" s="347"/>
      <c r="BC181" s="347"/>
      <c r="BD181" s="347"/>
      <c r="BE181" s="25"/>
      <c r="BF181" s="25"/>
      <c r="BG181" s="25"/>
      <c r="BH181" s="25"/>
      <c r="BI181" s="25"/>
      <c r="BJ181" s="25"/>
      <c r="BK181" s="25"/>
      <c r="BL181" s="25"/>
    </row>
    <row r="182" spans="1:64" s="353" customFormat="1" ht="12.75" customHeight="1">
      <c r="A182" s="355"/>
      <c r="B182" s="942"/>
      <c r="C182" s="942"/>
      <c r="D182" s="942"/>
      <c r="E182" s="942"/>
      <c r="F182" s="942"/>
      <c r="G182" s="942"/>
      <c r="H182" s="942"/>
      <c r="I182" s="942"/>
      <c r="J182" s="942"/>
      <c r="K182" s="350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7"/>
      <c r="BB182" s="347"/>
      <c r="BC182" s="347"/>
      <c r="BD182" s="347"/>
      <c r="BE182" s="25"/>
      <c r="BF182" s="25"/>
      <c r="BG182" s="25"/>
      <c r="BH182" s="25"/>
      <c r="BI182" s="25"/>
      <c r="BJ182" s="25"/>
      <c r="BK182" s="25"/>
      <c r="BL182" s="25"/>
    </row>
    <row r="183" spans="1:64" s="353" customFormat="1" ht="16.5" customHeight="1">
      <c r="A183" s="355"/>
      <c r="B183" s="942"/>
      <c r="C183" s="942"/>
      <c r="D183" s="942"/>
      <c r="E183" s="942"/>
      <c r="F183" s="942"/>
      <c r="G183" s="942"/>
      <c r="H183" s="942"/>
      <c r="I183" s="942"/>
      <c r="J183" s="942"/>
      <c r="K183" s="350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7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7"/>
      <c r="BB183" s="347"/>
      <c r="BC183" s="347"/>
      <c r="BD183" s="347"/>
      <c r="BE183" s="25"/>
      <c r="BF183" s="25"/>
      <c r="BG183" s="25"/>
      <c r="BH183" s="25"/>
      <c r="BI183" s="25"/>
      <c r="BJ183" s="25"/>
      <c r="BK183" s="25"/>
      <c r="BL183" s="25"/>
    </row>
    <row r="184" spans="1:64" s="353" customFormat="1" ht="12.75" customHeight="1">
      <c r="A184" s="355" t="s">
        <v>141</v>
      </c>
      <c r="B184" s="1044" t="s">
        <v>356</v>
      </c>
      <c r="C184" s="1044"/>
      <c r="D184" s="1044"/>
      <c r="E184" s="1044"/>
      <c r="F184" s="1044"/>
      <c r="G184" s="1044"/>
      <c r="H184" s="1044"/>
      <c r="I184" s="1044"/>
      <c r="J184" s="1044"/>
      <c r="K184" s="350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  <c r="AX184" s="356"/>
      <c r="AY184" s="356"/>
      <c r="AZ184" s="356"/>
      <c r="BA184" s="356"/>
      <c r="BB184" s="356"/>
      <c r="BC184" s="356"/>
      <c r="BD184" s="356"/>
      <c r="BE184" s="25"/>
      <c r="BF184" s="25"/>
      <c r="BG184" s="25"/>
      <c r="BH184" s="25"/>
      <c r="BI184" s="25"/>
      <c r="BJ184" s="25"/>
      <c r="BK184" s="25"/>
      <c r="BL184" s="25"/>
    </row>
    <row r="185" spans="1:64" s="353" customFormat="1" ht="12.75" customHeight="1">
      <c r="A185" s="357"/>
      <c r="B185" s="1044"/>
      <c r="C185" s="1044"/>
      <c r="D185" s="1044"/>
      <c r="E185" s="1044"/>
      <c r="F185" s="1044"/>
      <c r="G185" s="1044"/>
      <c r="H185" s="1044"/>
      <c r="I185" s="1044"/>
      <c r="J185" s="1044"/>
      <c r="K185" s="350"/>
      <c r="L185" s="356"/>
      <c r="M185" s="356"/>
      <c r="N185" s="356"/>
      <c r="O185" s="356"/>
      <c r="P185" s="356"/>
      <c r="Q185" s="356"/>
      <c r="R185" s="356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56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  <c r="AQ185" s="356"/>
      <c r="AR185" s="356"/>
      <c r="AS185" s="356"/>
      <c r="AT185" s="356"/>
      <c r="AU185" s="356"/>
      <c r="AV185" s="356"/>
      <c r="AW185" s="356"/>
      <c r="AX185" s="356"/>
      <c r="AY185" s="356"/>
      <c r="AZ185" s="356"/>
      <c r="BA185" s="356"/>
      <c r="BB185" s="356"/>
      <c r="BC185" s="356"/>
      <c r="BD185" s="356"/>
      <c r="BE185" s="25"/>
      <c r="BF185" s="25"/>
      <c r="BG185" s="25"/>
      <c r="BH185" s="25"/>
      <c r="BI185" s="25"/>
      <c r="BJ185" s="25"/>
      <c r="BK185" s="25"/>
      <c r="BL185" s="25"/>
    </row>
    <row r="186" spans="1:64" s="353" customFormat="1" ht="12.75" customHeight="1">
      <c r="A186" s="357"/>
      <c r="B186" s="1044"/>
      <c r="C186" s="1044"/>
      <c r="D186" s="1044"/>
      <c r="E186" s="1044"/>
      <c r="F186" s="1044"/>
      <c r="G186" s="1044"/>
      <c r="H186" s="1044"/>
      <c r="I186" s="1044"/>
      <c r="J186" s="1044"/>
      <c r="K186" s="350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  <c r="AQ186" s="356"/>
      <c r="AR186" s="356"/>
      <c r="AS186" s="356"/>
      <c r="AT186" s="356"/>
      <c r="AU186" s="356"/>
      <c r="AV186" s="356"/>
      <c r="AW186" s="356"/>
      <c r="AX186" s="356"/>
      <c r="AY186" s="356"/>
      <c r="AZ186" s="356"/>
      <c r="BA186" s="356"/>
      <c r="BB186" s="356"/>
      <c r="BC186" s="356"/>
      <c r="BD186" s="356"/>
      <c r="BE186" s="25"/>
      <c r="BF186" s="25"/>
      <c r="BG186" s="25"/>
      <c r="BH186" s="25"/>
      <c r="BI186" s="25"/>
      <c r="BJ186" s="25"/>
      <c r="BK186" s="25"/>
      <c r="BL186" s="25"/>
    </row>
    <row r="187" spans="1:64" s="353" customFormat="1" ht="12.75" customHeight="1">
      <c r="A187" s="357"/>
      <c r="B187" s="1044"/>
      <c r="C187" s="1044"/>
      <c r="D187" s="1044"/>
      <c r="E187" s="1044"/>
      <c r="F187" s="1044"/>
      <c r="G187" s="1044"/>
      <c r="H187" s="1044"/>
      <c r="I187" s="1044"/>
      <c r="J187" s="1044"/>
      <c r="K187" s="350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  <c r="AU187" s="356"/>
      <c r="AV187" s="356"/>
      <c r="AW187" s="356"/>
      <c r="AX187" s="356"/>
      <c r="AY187" s="356"/>
      <c r="AZ187" s="356"/>
      <c r="BA187" s="356"/>
      <c r="BB187" s="356"/>
      <c r="BC187" s="356"/>
      <c r="BD187" s="356"/>
      <c r="BE187" s="25"/>
      <c r="BF187" s="25"/>
      <c r="BG187" s="25"/>
      <c r="BH187" s="25"/>
      <c r="BI187" s="25"/>
      <c r="BJ187" s="25"/>
      <c r="BK187" s="25"/>
      <c r="BL187" s="25"/>
    </row>
    <row r="188" spans="1:64" s="353" customFormat="1" ht="12.75" customHeight="1">
      <c r="A188" s="357"/>
      <c r="B188" s="1044"/>
      <c r="C188" s="1044"/>
      <c r="D188" s="1044"/>
      <c r="E188" s="1044"/>
      <c r="F188" s="1044"/>
      <c r="G188" s="1044"/>
      <c r="H188" s="1044"/>
      <c r="I188" s="1044"/>
      <c r="J188" s="1044"/>
      <c r="K188" s="350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56"/>
      <c r="AC188" s="356"/>
      <c r="AD188" s="356"/>
      <c r="AE188" s="356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  <c r="AQ188" s="356"/>
      <c r="AR188" s="356"/>
      <c r="AS188" s="356"/>
      <c r="AT188" s="356"/>
      <c r="AU188" s="356"/>
      <c r="AV188" s="356"/>
      <c r="AW188" s="356"/>
      <c r="AX188" s="356"/>
      <c r="AY188" s="356"/>
      <c r="AZ188" s="356"/>
      <c r="BA188" s="356"/>
      <c r="BB188" s="356"/>
      <c r="BC188" s="356"/>
      <c r="BD188" s="356"/>
      <c r="BE188" s="25"/>
      <c r="BF188" s="25"/>
      <c r="BG188" s="25"/>
      <c r="BH188" s="25"/>
      <c r="BI188" s="25"/>
      <c r="BJ188" s="25"/>
      <c r="BK188" s="25"/>
      <c r="BL188" s="25"/>
    </row>
    <row r="189" spans="1:64" s="353" customFormat="1" ht="19.5" customHeight="1">
      <c r="A189" s="357"/>
      <c r="B189" s="1044"/>
      <c r="C189" s="1044"/>
      <c r="D189" s="1044"/>
      <c r="E189" s="1044"/>
      <c r="F189" s="1044"/>
      <c r="G189" s="1044"/>
      <c r="H189" s="1044"/>
      <c r="I189" s="1044"/>
      <c r="J189" s="1044"/>
      <c r="K189" s="350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  <c r="AX189" s="356"/>
      <c r="AY189" s="356"/>
      <c r="AZ189" s="356"/>
      <c r="BA189" s="356"/>
      <c r="BB189" s="356"/>
      <c r="BC189" s="356"/>
      <c r="BD189" s="356"/>
      <c r="BE189" s="25"/>
      <c r="BF189" s="25"/>
      <c r="BG189" s="25"/>
      <c r="BH189" s="25"/>
      <c r="BI189" s="25"/>
      <c r="BJ189" s="25"/>
      <c r="BK189" s="25"/>
      <c r="BL189" s="25"/>
    </row>
    <row r="190" spans="1:68" s="374" customFormat="1" ht="21" customHeight="1">
      <c r="A190" s="393" t="s">
        <v>142</v>
      </c>
      <c r="B190" s="394" t="s">
        <v>374</v>
      </c>
      <c r="C190" s="393"/>
      <c r="E190" s="394"/>
      <c r="F190" s="394"/>
      <c r="G190" s="394"/>
      <c r="H190" s="394"/>
      <c r="I190" s="394"/>
      <c r="J190" s="397"/>
      <c r="K190" s="350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  <c r="Z190" s="394"/>
      <c r="AA190" s="394"/>
      <c r="AB190" s="394"/>
      <c r="AC190" s="394"/>
      <c r="AD190" s="394"/>
      <c r="AE190" s="394"/>
      <c r="AF190" s="394"/>
      <c r="AG190" s="394"/>
      <c r="AH190" s="394"/>
      <c r="AI190" s="394"/>
      <c r="AJ190" s="394"/>
      <c r="AK190" s="394"/>
      <c r="AL190" s="394"/>
      <c r="AM190" s="394"/>
      <c r="AN190" s="394"/>
      <c r="AO190" s="394"/>
      <c r="AP190" s="394"/>
      <c r="AQ190" s="394"/>
      <c r="AR190" s="394"/>
      <c r="AS190" s="394"/>
      <c r="AT190" s="394"/>
      <c r="AU190" s="394"/>
      <c r="AV190" s="394"/>
      <c r="AW190" s="394"/>
      <c r="AX190" s="394"/>
      <c r="AY190" s="394"/>
      <c r="AZ190" s="394"/>
      <c r="BA190" s="394"/>
      <c r="BB190" s="394"/>
      <c r="BC190" s="394"/>
      <c r="BD190" s="394"/>
      <c r="BE190" s="25"/>
      <c r="BF190" s="25"/>
      <c r="BG190" s="25"/>
      <c r="BH190" s="25"/>
      <c r="BI190" s="25"/>
      <c r="BJ190" s="25"/>
      <c r="BK190" s="25"/>
      <c r="BL190" s="25"/>
      <c r="BM190" s="353"/>
      <c r="BN190" s="353"/>
      <c r="BO190" s="353"/>
      <c r="BP190" s="353"/>
    </row>
    <row r="191" spans="1:68" s="374" customFormat="1" ht="0.75" customHeight="1">
      <c r="A191" s="393"/>
      <c r="B191" s="393"/>
      <c r="C191" s="393"/>
      <c r="D191" s="394"/>
      <c r="E191" s="394"/>
      <c r="F191" s="394"/>
      <c r="G191" s="394"/>
      <c r="H191" s="394"/>
      <c r="I191" s="394"/>
      <c r="J191" s="397"/>
      <c r="K191" s="350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  <c r="AA191" s="394"/>
      <c r="AB191" s="394"/>
      <c r="AC191" s="394"/>
      <c r="AD191" s="394"/>
      <c r="AE191" s="394"/>
      <c r="AF191" s="394"/>
      <c r="AG191" s="394"/>
      <c r="AH191" s="394"/>
      <c r="AI191" s="394"/>
      <c r="AJ191" s="394"/>
      <c r="AK191" s="394"/>
      <c r="AL191" s="394"/>
      <c r="AM191" s="394"/>
      <c r="AN191" s="394"/>
      <c r="AO191" s="394"/>
      <c r="AP191" s="394"/>
      <c r="AQ191" s="394"/>
      <c r="AR191" s="394"/>
      <c r="AS191" s="394"/>
      <c r="AT191" s="394"/>
      <c r="AU191" s="394"/>
      <c r="AV191" s="394"/>
      <c r="AW191" s="394"/>
      <c r="AX191" s="394"/>
      <c r="AY191" s="394"/>
      <c r="AZ191" s="394"/>
      <c r="BA191" s="394"/>
      <c r="BB191" s="394"/>
      <c r="BC191" s="394"/>
      <c r="BD191" s="394"/>
      <c r="BE191" s="394"/>
      <c r="BF191" s="375"/>
      <c r="BG191" s="395"/>
      <c r="BH191" s="353"/>
      <c r="BI191" s="353"/>
      <c r="BJ191" s="396"/>
      <c r="BK191" s="353"/>
      <c r="BL191" s="353"/>
      <c r="BM191" s="353"/>
      <c r="BN191" s="353"/>
      <c r="BO191" s="353"/>
      <c r="BP191" s="353"/>
    </row>
    <row r="192" spans="1:21" ht="12.75" customHeight="1">
      <c r="A192" s="954" t="s">
        <v>375</v>
      </c>
      <c r="B192" s="714" t="s">
        <v>376</v>
      </c>
      <c r="C192" s="715"/>
      <c r="D192" s="715"/>
      <c r="E192" s="715"/>
      <c r="F192" s="716"/>
      <c r="G192" s="780" t="s">
        <v>114</v>
      </c>
      <c r="H192" s="781"/>
      <c r="I192" s="781"/>
      <c r="J192" s="782"/>
      <c r="K192" s="350"/>
      <c r="L192" s="395"/>
      <c r="M192" s="353"/>
      <c r="N192" s="353"/>
      <c r="O192" s="396"/>
      <c r="P192" s="353"/>
      <c r="Q192" s="353"/>
      <c r="R192" s="353"/>
      <c r="S192" s="353"/>
      <c r="T192" s="353"/>
      <c r="U192" s="353"/>
    </row>
    <row r="193" spans="1:21" ht="12.75" customHeight="1">
      <c r="A193" s="955"/>
      <c r="B193" s="717"/>
      <c r="C193" s="718"/>
      <c r="D193" s="718"/>
      <c r="E193" s="718"/>
      <c r="F193" s="719"/>
      <c r="G193" s="934" t="s">
        <v>377</v>
      </c>
      <c r="H193" s="935"/>
      <c r="I193" s="935"/>
      <c r="J193" s="936"/>
      <c r="K193" s="350"/>
      <c r="L193" s="395"/>
      <c r="M193" s="353"/>
      <c r="N193" s="353"/>
      <c r="O193" s="396"/>
      <c r="P193" s="353"/>
      <c r="Q193" s="353"/>
      <c r="R193" s="353"/>
      <c r="S193" s="353"/>
      <c r="T193" s="353"/>
      <c r="U193" s="353"/>
    </row>
    <row r="194" spans="1:21" ht="12.75" customHeight="1">
      <c r="A194" s="955"/>
      <c r="B194" s="717"/>
      <c r="C194" s="718"/>
      <c r="D194" s="718"/>
      <c r="E194" s="718"/>
      <c r="F194" s="719"/>
      <c r="G194" s="398">
        <v>0</v>
      </c>
      <c r="H194" s="399" t="s">
        <v>378</v>
      </c>
      <c r="I194" s="399" t="s">
        <v>379</v>
      </c>
      <c r="J194" s="400" t="s">
        <v>380</v>
      </c>
      <c r="K194" s="350"/>
      <c r="L194" s="395"/>
      <c r="M194" s="353"/>
      <c r="N194" s="353"/>
      <c r="O194" s="396"/>
      <c r="P194" s="353"/>
      <c r="Q194" s="353"/>
      <c r="R194" s="353"/>
      <c r="S194" s="353"/>
      <c r="T194" s="353"/>
      <c r="U194" s="353"/>
    </row>
    <row r="195" spans="1:21" ht="12.75" customHeight="1">
      <c r="A195" s="955"/>
      <c r="B195" s="717"/>
      <c r="C195" s="718"/>
      <c r="D195" s="718"/>
      <c r="E195" s="718"/>
      <c r="F195" s="719"/>
      <c r="G195" s="789" t="s">
        <v>381</v>
      </c>
      <c r="H195" s="711" t="s">
        <v>384</v>
      </c>
      <c r="I195" s="711" t="s">
        <v>383</v>
      </c>
      <c r="J195" s="711" t="s">
        <v>23</v>
      </c>
      <c r="K195" s="350"/>
      <c r="L195" s="395"/>
      <c r="M195" s="353"/>
      <c r="N195" s="353"/>
      <c r="O195" s="396"/>
      <c r="P195" s="353"/>
      <c r="Q195" s="353"/>
      <c r="R195" s="353"/>
      <c r="S195" s="353"/>
      <c r="T195" s="353"/>
      <c r="U195" s="353"/>
    </row>
    <row r="196" spans="1:15" ht="12.75" customHeight="1">
      <c r="A196" s="955"/>
      <c r="B196" s="717"/>
      <c r="C196" s="718"/>
      <c r="D196" s="718"/>
      <c r="E196" s="718"/>
      <c r="F196" s="719"/>
      <c r="G196" s="790"/>
      <c r="H196" s="712"/>
      <c r="I196" s="712"/>
      <c r="J196" s="712"/>
      <c r="K196" s="350"/>
      <c r="L196" s="3"/>
      <c r="M196" s="3"/>
      <c r="N196" s="3"/>
      <c r="O196" s="3"/>
    </row>
    <row r="197" spans="1:15" ht="12.75" customHeight="1">
      <c r="A197" s="955"/>
      <c r="B197" s="717"/>
      <c r="C197" s="718"/>
      <c r="D197" s="718"/>
      <c r="E197" s="718"/>
      <c r="F197" s="719"/>
      <c r="G197" s="790"/>
      <c r="H197" s="712"/>
      <c r="I197" s="712"/>
      <c r="J197" s="712"/>
      <c r="K197" s="350"/>
      <c r="L197" s="3"/>
      <c r="M197" s="3"/>
      <c r="N197" s="3"/>
      <c r="O197" s="3"/>
    </row>
    <row r="198" spans="1:15" ht="12.75" customHeight="1">
      <c r="A198" s="956"/>
      <c r="B198" s="720"/>
      <c r="C198" s="721"/>
      <c r="D198" s="721"/>
      <c r="E198" s="721"/>
      <c r="F198" s="722"/>
      <c r="G198" s="791"/>
      <c r="H198" s="713"/>
      <c r="I198" s="713"/>
      <c r="J198" s="713"/>
      <c r="K198" s="350"/>
      <c r="L198" s="3"/>
      <c r="M198" s="3"/>
      <c r="N198" s="3"/>
      <c r="O198" s="3"/>
    </row>
    <row r="199" spans="1:15" ht="12.75" customHeight="1">
      <c r="A199" s="768" t="s">
        <v>115</v>
      </c>
      <c r="B199" s="912" t="s">
        <v>412</v>
      </c>
      <c r="C199" s="913"/>
      <c r="D199" s="913"/>
      <c r="E199" s="913"/>
      <c r="F199" s="914"/>
      <c r="G199" s="922">
        <f>IF(AND(fio&lt;&gt;"",H199="",I199="",J199=""),0,"")</f>
      </c>
      <c r="H199" s="764"/>
      <c r="I199" s="764"/>
      <c r="J199" s="764"/>
      <c r="K199" s="350"/>
      <c r="L199" s="744">
        <f>MAX(G199:J202)</f>
        <v>0</v>
      </c>
      <c r="M199" s="757">
        <v>60</v>
      </c>
      <c r="N199" s="757"/>
      <c r="O199" s="3"/>
    </row>
    <row r="200" spans="1:15" ht="12.75" customHeight="1">
      <c r="A200" s="769"/>
      <c r="B200" s="915"/>
      <c r="C200" s="916"/>
      <c r="D200" s="916"/>
      <c r="E200" s="916"/>
      <c r="F200" s="917"/>
      <c r="G200" s="923"/>
      <c r="H200" s="765"/>
      <c r="I200" s="765"/>
      <c r="J200" s="765"/>
      <c r="K200" s="350"/>
      <c r="L200" s="744"/>
      <c r="M200" s="758"/>
      <c r="N200" s="758"/>
      <c r="O200" s="3"/>
    </row>
    <row r="201" spans="1:15" ht="6" customHeight="1">
      <c r="A201" s="769"/>
      <c r="B201" s="915"/>
      <c r="C201" s="916"/>
      <c r="D201" s="916"/>
      <c r="E201" s="916"/>
      <c r="F201" s="917"/>
      <c r="G201" s="923"/>
      <c r="H201" s="765"/>
      <c r="I201" s="765"/>
      <c r="J201" s="765"/>
      <c r="K201" s="350"/>
      <c r="L201" s="744"/>
      <c r="M201" s="758"/>
      <c r="N201" s="758"/>
      <c r="O201" s="3"/>
    </row>
    <row r="202" spans="1:15" ht="0.75" customHeight="1">
      <c r="A202" s="770"/>
      <c r="B202" s="918"/>
      <c r="C202" s="919"/>
      <c r="D202" s="919"/>
      <c r="E202" s="919"/>
      <c r="F202" s="920"/>
      <c r="G202" s="924"/>
      <c r="H202" s="766"/>
      <c r="I202" s="766"/>
      <c r="J202" s="766"/>
      <c r="K202" s="350"/>
      <c r="L202" s="744"/>
      <c r="M202" s="758"/>
      <c r="N202" s="758"/>
      <c r="O202" s="3"/>
    </row>
    <row r="203" spans="1:14" ht="12.75" customHeight="1">
      <c r="A203" s="768" t="s">
        <v>116</v>
      </c>
      <c r="B203" s="912" t="s">
        <v>413</v>
      </c>
      <c r="C203" s="913"/>
      <c r="D203" s="913"/>
      <c r="E203" s="913"/>
      <c r="F203" s="914"/>
      <c r="G203" s="922">
        <f>IF(AND(fio&lt;&gt;"",H203="",I203="",J203=""),0,"")</f>
      </c>
      <c r="H203" s="764"/>
      <c r="I203" s="764"/>
      <c r="J203" s="764"/>
      <c r="K203" s="350"/>
      <c r="L203" s="744">
        <f>MAX(G203:J207)</f>
        <v>0</v>
      </c>
      <c r="M203" s="757">
        <v>60</v>
      </c>
      <c r="N203" s="757"/>
    </row>
    <row r="204" spans="1:14" ht="12.75" customHeight="1">
      <c r="A204" s="769"/>
      <c r="B204" s="915"/>
      <c r="C204" s="916"/>
      <c r="D204" s="916"/>
      <c r="E204" s="916"/>
      <c r="F204" s="917"/>
      <c r="G204" s="923"/>
      <c r="H204" s="765"/>
      <c r="I204" s="765"/>
      <c r="J204" s="765"/>
      <c r="K204" s="350"/>
      <c r="L204" s="744"/>
      <c r="M204" s="758"/>
      <c r="N204" s="758"/>
    </row>
    <row r="205" spans="1:14" ht="3" customHeight="1">
      <c r="A205" s="769"/>
      <c r="B205" s="915"/>
      <c r="C205" s="916"/>
      <c r="D205" s="916"/>
      <c r="E205" s="916"/>
      <c r="F205" s="917"/>
      <c r="G205" s="923"/>
      <c r="H205" s="765"/>
      <c r="I205" s="765"/>
      <c r="J205" s="765"/>
      <c r="K205" s="350"/>
      <c r="L205" s="744"/>
      <c r="M205" s="758"/>
      <c r="N205" s="758"/>
    </row>
    <row r="206" spans="1:14" ht="2.25" customHeight="1">
      <c r="A206" s="769"/>
      <c r="B206" s="915"/>
      <c r="C206" s="916"/>
      <c r="D206" s="916"/>
      <c r="E206" s="916"/>
      <c r="F206" s="917"/>
      <c r="G206" s="923"/>
      <c r="H206" s="765"/>
      <c r="I206" s="765"/>
      <c r="J206" s="765"/>
      <c r="K206" s="350"/>
      <c r="L206" s="744"/>
      <c r="M206" s="758"/>
      <c r="N206" s="758"/>
    </row>
    <row r="207" spans="1:14" ht="3" customHeight="1">
      <c r="A207" s="770"/>
      <c r="B207" s="918"/>
      <c r="C207" s="919"/>
      <c r="D207" s="919"/>
      <c r="E207" s="919"/>
      <c r="F207" s="920"/>
      <c r="G207" s="924"/>
      <c r="H207" s="766"/>
      <c r="I207" s="766"/>
      <c r="J207" s="766"/>
      <c r="K207" s="350"/>
      <c r="L207" s="744"/>
      <c r="M207" s="758"/>
      <c r="N207" s="758"/>
    </row>
    <row r="208" spans="1:14" ht="12.75" customHeight="1">
      <c r="A208" s="768" t="s">
        <v>117</v>
      </c>
      <c r="B208" s="912" t="s">
        <v>382</v>
      </c>
      <c r="C208" s="913"/>
      <c r="D208" s="913"/>
      <c r="E208" s="913"/>
      <c r="F208" s="914"/>
      <c r="G208" s="922">
        <f>IF(AND(fio&lt;&gt;"",H208="",I208="",J208=""),0,"")</f>
      </c>
      <c r="H208" s="764"/>
      <c r="I208" s="764"/>
      <c r="J208" s="764"/>
      <c r="K208" s="350"/>
      <c r="L208" s="744">
        <f>MAX(G208:J211)</f>
        <v>0</v>
      </c>
      <c r="M208" s="757">
        <v>60</v>
      </c>
      <c r="N208" s="757"/>
    </row>
    <row r="209" spans="1:14" ht="12.75" customHeight="1" hidden="1">
      <c r="A209" s="769"/>
      <c r="B209" s="915"/>
      <c r="C209" s="916"/>
      <c r="D209" s="916"/>
      <c r="E209" s="916"/>
      <c r="F209" s="917"/>
      <c r="G209" s="923"/>
      <c r="H209" s="765"/>
      <c r="I209" s="765"/>
      <c r="J209" s="765"/>
      <c r="K209" s="350"/>
      <c r="L209" s="744"/>
      <c r="M209" s="758"/>
      <c r="N209" s="758"/>
    </row>
    <row r="210" spans="1:14" ht="12.75" customHeight="1" hidden="1">
      <c r="A210" s="769"/>
      <c r="B210" s="915"/>
      <c r="C210" s="916"/>
      <c r="D210" s="916"/>
      <c r="E210" s="916"/>
      <c r="F210" s="917"/>
      <c r="G210" s="923"/>
      <c r="H210" s="765"/>
      <c r="I210" s="765"/>
      <c r="J210" s="765"/>
      <c r="K210" s="350"/>
      <c r="L210" s="744"/>
      <c r="M210" s="758"/>
      <c r="N210" s="758"/>
    </row>
    <row r="211" spans="1:14" ht="7.5" customHeight="1">
      <c r="A211" s="770"/>
      <c r="B211" s="918"/>
      <c r="C211" s="919"/>
      <c r="D211" s="919"/>
      <c r="E211" s="919"/>
      <c r="F211" s="920"/>
      <c r="G211" s="924"/>
      <c r="H211" s="766"/>
      <c r="I211" s="766"/>
      <c r="J211" s="766"/>
      <c r="K211" s="350"/>
      <c r="L211" s="744"/>
      <c r="M211" s="759"/>
      <c r="N211" s="759"/>
    </row>
    <row r="212" spans="1:14" ht="12.75" customHeight="1">
      <c r="A212" s="768" t="s">
        <v>118</v>
      </c>
      <c r="B212" s="912" t="s">
        <v>414</v>
      </c>
      <c r="C212" s="913"/>
      <c r="D212" s="913"/>
      <c r="E212" s="913"/>
      <c r="F212" s="914"/>
      <c r="G212" s="922">
        <f>IF(AND(fio&lt;&gt;"",H212="",I212="",J212=""),0,"")</f>
      </c>
      <c r="H212" s="764"/>
      <c r="I212" s="764"/>
      <c r="J212" s="764"/>
      <c r="K212" s="350"/>
      <c r="L212" s="744">
        <f>MAX(G212:J215)</f>
        <v>0</v>
      </c>
      <c r="M212" s="757">
        <v>60</v>
      </c>
      <c r="N212" s="757"/>
    </row>
    <row r="213" spans="1:14" ht="3.75" customHeight="1">
      <c r="A213" s="769"/>
      <c r="B213" s="915"/>
      <c r="C213" s="916"/>
      <c r="D213" s="916"/>
      <c r="E213" s="916"/>
      <c r="F213" s="917"/>
      <c r="G213" s="923"/>
      <c r="H213" s="765"/>
      <c r="I213" s="765"/>
      <c r="J213" s="765"/>
      <c r="K213" s="350"/>
      <c r="L213" s="744"/>
      <c r="M213" s="758"/>
      <c r="N213" s="758"/>
    </row>
    <row r="214" spans="1:14" ht="12.75" customHeight="1" hidden="1">
      <c r="A214" s="769"/>
      <c r="B214" s="915"/>
      <c r="C214" s="916"/>
      <c r="D214" s="916"/>
      <c r="E214" s="916"/>
      <c r="F214" s="917"/>
      <c r="G214" s="923"/>
      <c r="H214" s="765"/>
      <c r="I214" s="765"/>
      <c r="J214" s="765"/>
      <c r="K214" s="350"/>
      <c r="L214" s="744"/>
      <c r="M214" s="758"/>
      <c r="N214" s="758"/>
    </row>
    <row r="215" spans="1:14" ht="3.75" customHeight="1">
      <c r="A215" s="770"/>
      <c r="B215" s="918"/>
      <c r="C215" s="919"/>
      <c r="D215" s="919"/>
      <c r="E215" s="919"/>
      <c r="F215" s="920"/>
      <c r="G215" s="924"/>
      <c r="H215" s="766"/>
      <c r="I215" s="766"/>
      <c r="J215" s="766"/>
      <c r="K215" s="350"/>
      <c r="L215" s="744"/>
      <c r="M215" s="759"/>
      <c r="N215" s="759"/>
    </row>
    <row r="216" spans="1:62" s="353" customFormat="1" ht="17.25" customHeight="1">
      <c r="A216" s="77" t="s">
        <v>385</v>
      </c>
      <c r="B216" s="921" t="s">
        <v>386</v>
      </c>
      <c r="C216" s="921"/>
      <c r="D216" s="921"/>
      <c r="E216" s="921"/>
      <c r="F216" s="921"/>
      <c r="G216" s="921"/>
      <c r="H216" s="921"/>
      <c r="I216" s="921"/>
      <c r="J216" s="394"/>
      <c r="K216" s="350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  <c r="Y216" s="394"/>
      <c r="Z216" s="394"/>
      <c r="AA216" s="394"/>
      <c r="AB216" s="394"/>
      <c r="AC216" s="394"/>
      <c r="AD216" s="394"/>
      <c r="AE216" s="394"/>
      <c r="AF216" s="394"/>
      <c r="AG216" s="394"/>
      <c r="AH216" s="394"/>
      <c r="AI216" s="394"/>
      <c r="AJ216" s="394"/>
      <c r="AK216" s="394"/>
      <c r="AL216" s="394"/>
      <c r="AM216" s="394"/>
      <c r="AN216" s="394"/>
      <c r="AO216" s="394"/>
      <c r="AP216" s="394"/>
      <c r="AQ216" s="394"/>
      <c r="AR216" s="394"/>
      <c r="AS216" s="394"/>
      <c r="AT216" s="394"/>
      <c r="AU216" s="394"/>
      <c r="AV216" s="394"/>
      <c r="AW216" s="394"/>
      <c r="AX216" s="394"/>
      <c r="AY216" s="394"/>
      <c r="AZ216" s="394"/>
      <c r="BA216" s="394"/>
      <c r="BB216" s="394"/>
      <c r="BC216" s="394"/>
      <c r="BD216" s="394"/>
      <c r="BE216" s="394"/>
      <c r="BF216" s="375"/>
      <c r="BG216" s="395"/>
      <c r="BJ216" s="396"/>
    </row>
    <row r="217" spans="1:62" ht="12.75" customHeight="1">
      <c r="A217" s="418" t="s">
        <v>387</v>
      </c>
      <c r="B217" s="418"/>
      <c r="C217" s="418"/>
      <c r="D217" s="418"/>
      <c r="E217" s="418"/>
      <c r="F217" s="418"/>
      <c r="G217" s="418"/>
      <c r="H217" s="418"/>
      <c r="I217" s="418"/>
      <c r="J217" s="3"/>
      <c r="K217" s="350"/>
      <c r="L217" s="3"/>
      <c r="M217" s="3"/>
      <c r="N217" s="3"/>
      <c r="O217" s="3"/>
      <c r="BF217" s="375"/>
      <c r="BG217" s="38"/>
      <c r="BH217" s="38"/>
      <c r="BI217" s="38"/>
      <c r="BJ217" s="138"/>
    </row>
    <row r="218" spans="1:68" s="374" customFormat="1" ht="3" customHeight="1" hidden="1">
      <c r="A218" s="393"/>
      <c r="B218" s="393"/>
      <c r="C218" s="393"/>
      <c r="D218" s="394"/>
      <c r="E218" s="394"/>
      <c r="F218" s="394"/>
      <c r="G218" s="394"/>
      <c r="H218" s="394"/>
      <c r="I218" s="394"/>
      <c r="J218" s="394"/>
      <c r="K218" s="350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  <c r="Y218" s="394"/>
      <c r="Z218" s="394"/>
      <c r="AA218" s="394"/>
      <c r="AB218" s="394"/>
      <c r="AC218" s="394"/>
      <c r="AD218" s="394"/>
      <c r="AE218" s="394"/>
      <c r="AF218" s="394"/>
      <c r="AG218" s="394"/>
      <c r="AH218" s="394"/>
      <c r="AI218" s="394"/>
      <c r="AJ218" s="394"/>
      <c r="AK218" s="394"/>
      <c r="AL218" s="394"/>
      <c r="AM218" s="394"/>
      <c r="AN218" s="394"/>
      <c r="AO218" s="394"/>
      <c r="AP218" s="394"/>
      <c r="AQ218" s="394"/>
      <c r="AR218" s="394"/>
      <c r="AS218" s="394"/>
      <c r="AT218" s="394"/>
      <c r="AU218" s="394"/>
      <c r="AV218" s="394"/>
      <c r="AW218" s="394"/>
      <c r="AX218" s="394"/>
      <c r="AY218" s="394"/>
      <c r="AZ218" s="394"/>
      <c r="BA218" s="394"/>
      <c r="BB218" s="394"/>
      <c r="BC218" s="394"/>
      <c r="BD218" s="394"/>
      <c r="BE218" s="394"/>
      <c r="BF218" s="394"/>
      <c r="BG218" s="394"/>
      <c r="BH218" s="394"/>
      <c r="BI218" s="394"/>
      <c r="BJ218" s="394"/>
      <c r="BK218" s="353"/>
      <c r="BL218" s="353"/>
      <c r="BM218" s="353"/>
      <c r="BN218" s="353"/>
      <c r="BO218" s="353"/>
      <c r="BP218" s="353"/>
    </row>
    <row r="219" spans="1:20" ht="12.75" customHeight="1">
      <c r="A219" s="954" t="s">
        <v>375</v>
      </c>
      <c r="B219" s="925" t="s">
        <v>388</v>
      </c>
      <c r="C219" s="926"/>
      <c r="D219" s="926"/>
      <c r="E219" s="926"/>
      <c r="F219" s="927"/>
      <c r="G219" s="780" t="s">
        <v>114</v>
      </c>
      <c r="H219" s="781"/>
      <c r="I219" s="781"/>
      <c r="J219" s="782"/>
      <c r="K219" s="350"/>
      <c r="L219" s="3"/>
      <c r="M219" s="3"/>
      <c r="N219" s="3"/>
      <c r="O219" s="3"/>
      <c r="P219" s="353"/>
      <c r="Q219" s="353"/>
      <c r="R219" s="353"/>
      <c r="S219" s="353"/>
      <c r="T219" s="353"/>
    </row>
    <row r="220" spans="1:20" ht="12.75" customHeight="1">
      <c r="A220" s="955"/>
      <c r="B220" s="957"/>
      <c r="C220" s="958"/>
      <c r="D220" s="958"/>
      <c r="E220" s="958"/>
      <c r="F220" s="959"/>
      <c r="G220" s="934" t="s">
        <v>389</v>
      </c>
      <c r="H220" s="935"/>
      <c r="I220" s="935"/>
      <c r="J220" s="936"/>
      <c r="K220" s="350"/>
      <c r="L220" s="3"/>
      <c r="M220" s="3"/>
      <c r="N220" s="3"/>
      <c r="O220" s="3"/>
      <c r="P220" s="353"/>
      <c r="Q220" s="353"/>
      <c r="R220" s="353"/>
      <c r="S220" s="353"/>
      <c r="T220" s="353"/>
    </row>
    <row r="221" spans="1:20" ht="12.75" customHeight="1">
      <c r="A221" s="955"/>
      <c r="B221" s="957"/>
      <c r="C221" s="958"/>
      <c r="D221" s="958"/>
      <c r="E221" s="958"/>
      <c r="F221" s="959"/>
      <c r="G221" s="398">
        <v>0</v>
      </c>
      <c r="H221" s="399" t="s">
        <v>390</v>
      </c>
      <c r="I221" s="399" t="s">
        <v>391</v>
      </c>
      <c r="J221" s="400" t="s">
        <v>392</v>
      </c>
      <c r="K221" s="350"/>
      <c r="L221" s="353"/>
      <c r="M221" s="353"/>
      <c r="N221" s="396"/>
      <c r="O221" s="353"/>
      <c r="P221" s="353"/>
      <c r="Q221" s="353"/>
      <c r="R221" s="353"/>
      <c r="S221" s="353"/>
      <c r="T221" s="353"/>
    </row>
    <row r="222" spans="1:20" ht="12.75" customHeight="1">
      <c r="A222" s="955"/>
      <c r="B222" s="794" t="s">
        <v>393</v>
      </c>
      <c r="C222" s="795"/>
      <c r="D222" s="795"/>
      <c r="E222" s="795"/>
      <c r="F222" s="796"/>
      <c r="G222" s="789" t="s">
        <v>381</v>
      </c>
      <c r="H222" s="711" t="s">
        <v>384</v>
      </c>
      <c r="I222" s="711" t="s">
        <v>383</v>
      </c>
      <c r="J222" s="711" t="s">
        <v>23</v>
      </c>
      <c r="K222" s="350"/>
      <c r="L222" s="353"/>
      <c r="M222" s="353"/>
      <c r="N222" s="396"/>
      <c r="O222" s="353"/>
      <c r="P222" s="353"/>
      <c r="Q222" s="353"/>
      <c r="R222" s="353"/>
      <c r="S222" s="353"/>
      <c r="T222" s="353"/>
    </row>
    <row r="223" spans="1:20" ht="12.75" customHeight="1">
      <c r="A223" s="955"/>
      <c r="B223" s="794"/>
      <c r="C223" s="795"/>
      <c r="D223" s="795"/>
      <c r="E223" s="795"/>
      <c r="F223" s="796"/>
      <c r="G223" s="790"/>
      <c r="H223" s="712"/>
      <c r="I223" s="712"/>
      <c r="J223" s="712"/>
      <c r="K223" s="350"/>
      <c r="L223" s="353"/>
      <c r="M223" s="353"/>
      <c r="N223" s="396"/>
      <c r="O223" s="353"/>
      <c r="P223" s="353"/>
      <c r="Q223" s="353"/>
      <c r="R223" s="353"/>
      <c r="S223" s="353"/>
      <c r="T223" s="353"/>
    </row>
    <row r="224" spans="1:15" ht="12.75" customHeight="1">
      <c r="A224" s="955"/>
      <c r="B224" s="794"/>
      <c r="C224" s="795"/>
      <c r="D224" s="795"/>
      <c r="E224" s="795"/>
      <c r="F224" s="796"/>
      <c r="G224" s="790"/>
      <c r="H224" s="712"/>
      <c r="I224" s="712"/>
      <c r="J224" s="712"/>
      <c r="K224" s="350"/>
      <c r="L224" s="3"/>
      <c r="M224" s="3"/>
      <c r="N224" s="3"/>
      <c r="O224" s="3"/>
    </row>
    <row r="225" spans="1:15" ht="12.75" customHeight="1">
      <c r="A225" s="956"/>
      <c r="B225" s="797"/>
      <c r="C225" s="798"/>
      <c r="D225" s="798"/>
      <c r="E225" s="798"/>
      <c r="F225" s="799"/>
      <c r="G225" s="791"/>
      <c r="H225" s="713"/>
      <c r="I225" s="713"/>
      <c r="J225" s="713"/>
      <c r="K225" s="350"/>
      <c r="L225" s="3"/>
      <c r="M225" s="3"/>
      <c r="N225" s="3"/>
      <c r="O225" s="3"/>
    </row>
    <row r="226" spans="1:15" ht="12.75" customHeight="1">
      <c r="A226" s="768" t="s">
        <v>115</v>
      </c>
      <c r="B226" s="771"/>
      <c r="C226" s="772"/>
      <c r="D226" s="772"/>
      <c r="E226" s="772"/>
      <c r="F226" s="773"/>
      <c r="G226" s="742">
        <f>IF(AND(fio&lt;&gt;"",H226="",I226="",J226=""),0,IF($E$50="первая","Не  запол- нять на первую !",""))</f>
      </c>
      <c r="H226" s="764"/>
      <c r="I226" s="764"/>
      <c r="J226" s="764"/>
      <c r="K226" s="350"/>
      <c r="L226" s="744">
        <f>IF($E$50="первая",0,MAX(G226:J230))</f>
        <v>0</v>
      </c>
      <c r="M226" s="757">
        <v>100</v>
      </c>
      <c r="N226" s="757"/>
      <c r="O226" s="3"/>
    </row>
    <row r="227" spans="1:15" ht="12.75" customHeight="1">
      <c r="A227" s="769"/>
      <c r="B227" s="774"/>
      <c r="C227" s="775"/>
      <c r="D227" s="775"/>
      <c r="E227" s="775"/>
      <c r="F227" s="776"/>
      <c r="G227" s="745"/>
      <c r="H227" s="765"/>
      <c r="I227" s="765"/>
      <c r="J227" s="765"/>
      <c r="K227" s="350"/>
      <c r="L227" s="744"/>
      <c r="M227" s="758"/>
      <c r="N227" s="758"/>
      <c r="O227" s="3"/>
    </row>
    <row r="228" spans="1:15" ht="12.75" customHeight="1">
      <c r="A228" s="769"/>
      <c r="B228" s="774"/>
      <c r="C228" s="775"/>
      <c r="D228" s="775"/>
      <c r="E228" s="775"/>
      <c r="F228" s="776"/>
      <c r="G228" s="745"/>
      <c r="H228" s="765"/>
      <c r="I228" s="765"/>
      <c r="J228" s="765"/>
      <c r="K228" s="350"/>
      <c r="L228" s="744"/>
      <c r="M228" s="758"/>
      <c r="N228" s="758"/>
      <c r="O228" s="3"/>
    </row>
    <row r="229" spans="1:15" ht="6" customHeight="1">
      <c r="A229" s="769"/>
      <c r="B229" s="774"/>
      <c r="C229" s="775"/>
      <c r="D229" s="775"/>
      <c r="E229" s="775"/>
      <c r="F229" s="776"/>
      <c r="G229" s="745"/>
      <c r="H229" s="765"/>
      <c r="I229" s="765"/>
      <c r="J229" s="765"/>
      <c r="K229" s="350"/>
      <c r="L229" s="744"/>
      <c r="M229" s="758"/>
      <c r="N229" s="758"/>
      <c r="O229" s="3"/>
    </row>
    <row r="230" spans="1:15" ht="12.75" customHeight="1">
      <c r="A230" s="770"/>
      <c r="B230" s="777"/>
      <c r="C230" s="778"/>
      <c r="D230" s="778"/>
      <c r="E230" s="778"/>
      <c r="F230" s="779"/>
      <c r="G230" s="743"/>
      <c r="H230" s="766"/>
      <c r="I230" s="766"/>
      <c r="J230" s="766"/>
      <c r="K230" s="350"/>
      <c r="L230" s="744"/>
      <c r="M230" s="759"/>
      <c r="N230" s="759"/>
      <c r="O230" s="3"/>
    </row>
    <row r="231" spans="1:14" ht="12.75" customHeight="1">
      <c r="A231" s="768" t="s">
        <v>116</v>
      </c>
      <c r="B231" s="771"/>
      <c r="C231" s="772"/>
      <c r="D231" s="772"/>
      <c r="E231" s="772"/>
      <c r="F231" s="773"/>
      <c r="G231" s="742">
        <f>IF(AND(fio&lt;&gt;"",H231="",I231="",J231=""),0,IF($E$50="первая","Не  запол- нять на первую !",""))</f>
      </c>
      <c r="H231" s="764"/>
      <c r="I231" s="764"/>
      <c r="J231" s="764"/>
      <c r="K231" s="350"/>
      <c r="L231" s="744">
        <f>IF($E$50="первая",0,MAX(G231:J235))</f>
        <v>0</v>
      </c>
      <c r="M231" s="757">
        <v>100</v>
      </c>
      <c r="N231" s="757"/>
    </row>
    <row r="232" spans="1:14" ht="12.75" customHeight="1">
      <c r="A232" s="769"/>
      <c r="B232" s="774"/>
      <c r="C232" s="775"/>
      <c r="D232" s="775"/>
      <c r="E232" s="775"/>
      <c r="F232" s="776"/>
      <c r="G232" s="745"/>
      <c r="H232" s="765"/>
      <c r="I232" s="765"/>
      <c r="J232" s="765"/>
      <c r="K232" s="350"/>
      <c r="L232" s="744"/>
      <c r="M232" s="758"/>
      <c r="N232" s="758"/>
    </row>
    <row r="233" spans="1:14" ht="12.75" customHeight="1">
      <c r="A233" s="769"/>
      <c r="B233" s="774"/>
      <c r="C233" s="775"/>
      <c r="D233" s="775"/>
      <c r="E233" s="775"/>
      <c r="F233" s="776"/>
      <c r="G233" s="745"/>
      <c r="H233" s="765"/>
      <c r="I233" s="765"/>
      <c r="J233" s="765"/>
      <c r="K233" s="350"/>
      <c r="L233" s="744"/>
      <c r="M233" s="758"/>
      <c r="N233" s="758"/>
    </row>
    <row r="234" spans="1:14" ht="6" customHeight="1">
      <c r="A234" s="769"/>
      <c r="B234" s="774"/>
      <c r="C234" s="775"/>
      <c r="D234" s="775"/>
      <c r="E234" s="775"/>
      <c r="F234" s="776"/>
      <c r="G234" s="745"/>
      <c r="H234" s="765"/>
      <c r="I234" s="765"/>
      <c r="J234" s="765"/>
      <c r="K234" s="350"/>
      <c r="L234" s="744"/>
      <c r="M234" s="758"/>
      <c r="N234" s="758"/>
    </row>
    <row r="235" spans="1:14" ht="12.75" customHeight="1">
      <c r="A235" s="770"/>
      <c r="B235" s="777"/>
      <c r="C235" s="778"/>
      <c r="D235" s="778"/>
      <c r="E235" s="778"/>
      <c r="F235" s="779"/>
      <c r="G235" s="743"/>
      <c r="H235" s="766"/>
      <c r="I235" s="766"/>
      <c r="J235" s="766"/>
      <c r="K235" s="350"/>
      <c r="L235" s="744"/>
      <c r="M235" s="759"/>
      <c r="N235" s="759"/>
    </row>
    <row r="236" spans="1:14" ht="12.75" customHeight="1">
      <c r="A236" s="768" t="s">
        <v>117</v>
      </c>
      <c r="B236" s="771"/>
      <c r="C236" s="772"/>
      <c r="D236" s="772"/>
      <c r="E236" s="772"/>
      <c r="F236" s="773"/>
      <c r="G236" s="742">
        <f>IF(AND(fio&lt;&gt;"",H236="",I236="",J236=""),0,IF($E$50="первая","Не  запол- нять на первую !",""))</f>
      </c>
      <c r="H236" s="764"/>
      <c r="I236" s="764"/>
      <c r="J236" s="764"/>
      <c r="K236" s="350"/>
      <c r="L236" s="744">
        <f>IF($E$50="первая",0,MAX(G236:J240))</f>
        <v>0</v>
      </c>
      <c r="M236" s="757">
        <v>100</v>
      </c>
      <c r="N236" s="757"/>
    </row>
    <row r="237" spans="1:14" ht="12.75" customHeight="1">
      <c r="A237" s="769"/>
      <c r="B237" s="774"/>
      <c r="C237" s="775"/>
      <c r="D237" s="775"/>
      <c r="E237" s="775"/>
      <c r="F237" s="776"/>
      <c r="G237" s="745"/>
      <c r="H237" s="765"/>
      <c r="I237" s="765"/>
      <c r="J237" s="765"/>
      <c r="K237" s="350"/>
      <c r="L237" s="744"/>
      <c r="M237" s="758"/>
      <c r="N237" s="758"/>
    </row>
    <row r="238" spans="1:14" ht="6" customHeight="1">
      <c r="A238" s="769"/>
      <c r="B238" s="774"/>
      <c r="C238" s="775"/>
      <c r="D238" s="775"/>
      <c r="E238" s="775"/>
      <c r="F238" s="776"/>
      <c r="G238" s="745"/>
      <c r="H238" s="765"/>
      <c r="I238" s="765"/>
      <c r="J238" s="765"/>
      <c r="K238" s="350"/>
      <c r="L238" s="744"/>
      <c r="M238" s="758"/>
      <c r="N238" s="758"/>
    </row>
    <row r="239" spans="1:14" ht="12.75" customHeight="1">
      <c r="A239" s="769"/>
      <c r="B239" s="774"/>
      <c r="C239" s="775"/>
      <c r="D239" s="775"/>
      <c r="E239" s="775"/>
      <c r="F239" s="776"/>
      <c r="G239" s="745"/>
      <c r="H239" s="765"/>
      <c r="I239" s="765"/>
      <c r="J239" s="765"/>
      <c r="K239" s="350"/>
      <c r="L239" s="744"/>
      <c r="M239" s="758"/>
      <c r="N239" s="758"/>
    </row>
    <row r="240" spans="1:14" ht="12.75" customHeight="1">
      <c r="A240" s="770"/>
      <c r="B240" s="777"/>
      <c r="C240" s="778"/>
      <c r="D240" s="778"/>
      <c r="E240" s="778"/>
      <c r="F240" s="779"/>
      <c r="G240" s="743"/>
      <c r="H240" s="766"/>
      <c r="I240" s="766"/>
      <c r="J240" s="766"/>
      <c r="K240" s="350"/>
      <c r="L240" s="744"/>
      <c r="M240" s="759"/>
      <c r="N240" s="759"/>
    </row>
    <row r="241" spans="1:14" ht="12.75" customHeight="1">
      <c r="A241" s="768" t="s">
        <v>118</v>
      </c>
      <c r="B241" s="771"/>
      <c r="C241" s="772"/>
      <c r="D241" s="772"/>
      <c r="E241" s="772"/>
      <c r="F241" s="773"/>
      <c r="G241" s="742">
        <f>IF(AND(fio&lt;&gt;"",H241="",I241="",J241=""),0,IF($E$50="первая","Не  запол- нять на первую !",""))</f>
      </c>
      <c r="H241" s="764"/>
      <c r="I241" s="764"/>
      <c r="J241" s="764"/>
      <c r="K241" s="350"/>
      <c r="L241" s="744">
        <f>IF($E$50="первая",0,MAX(G241:J245))</f>
        <v>0</v>
      </c>
      <c r="M241" s="757">
        <v>100</v>
      </c>
      <c r="N241" s="757"/>
    </row>
    <row r="242" spans="1:14" ht="12.75" customHeight="1">
      <c r="A242" s="769"/>
      <c r="B242" s="774"/>
      <c r="C242" s="775"/>
      <c r="D242" s="775"/>
      <c r="E242" s="775"/>
      <c r="F242" s="776"/>
      <c r="G242" s="745"/>
      <c r="H242" s="765"/>
      <c r="I242" s="765"/>
      <c r="J242" s="765"/>
      <c r="K242" s="350"/>
      <c r="L242" s="744"/>
      <c r="M242" s="758"/>
      <c r="N242" s="758"/>
    </row>
    <row r="243" spans="1:14" ht="3" customHeight="1">
      <c r="A243" s="769"/>
      <c r="B243" s="774"/>
      <c r="C243" s="775"/>
      <c r="D243" s="775"/>
      <c r="E243" s="775"/>
      <c r="F243" s="776"/>
      <c r="G243" s="745"/>
      <c r="H243" s="765"/>
      <c r="I243" s="765"/>
      <c r="J243" s="765"/>
      <c r="K243" s="350"/>
      <c r="L243" s="744"/>
      <c r="M243" s="758"/>
      <c r="N243" s="758"/>
    </row>
    <row r="244" spans="1:14" ht="14.25" customHeight="1">
      <c r="A244" s="769"/>
      <c r="B244" s="774"/>
      <c r="C244" s="775"/>
      <c r="D244" s="775"/>
      <c r="E244" s="775"/>
      <c r="F244" s="776"/>
      <c r="G244" s="745"/>
      <c r="H244" s="765"/>
      <c r="I244" s="765"/>
      <c r="J244" s="765"/>
      <c r="K244" s="350"/>
      <c r="L244" s="744"/>
      <c r="M244" s="758"/>
      <c r="N244" s="758"/>
    </row>
    <row r="245" spans="1:14" ht="11.25" customHeight="1">
      <c r="A245" s="770"/>
      <c r="B245" s="777"/>
      <c r="C245" s="778"/>
      <c r="D245" s="778"/>
      <c r="E245" s="778"/>
      <c r="F245" s="779"/>
      <c r="G245" s="743"/>
      <c r="H245" s="766"/>
      <c r="I245" s="766"/>
      <c r="J245" s="766"/>
      <c r="K245" s="350"/>
      <c r="L245" s="744"/>
      <c r="M245" s="759"/>
      <c r="N245" s="759"/>
    </row>
    <row r="246" spans="1:14" ht="12.75" customHeight="1">
      <c r="A246" s="768" t="s">
        <v>477</v>
      </c>
      <c r="B246" s="771"/>
      <c r="C246" s="772"/>
      <c r="D246" s="772"/>
      <c r="E246" s="772"/>
      <c r="F246" s="773"/>
      <c r="G246" s="742">
        <f>IF(AND(fio&lt;&gt;"",H246="",I246="",J246=""),0,IF($E$50="первая","Не  запол- нять на первую !",""))</f>
      </c>
      <c r="H246" s="764"/>
      <c r="I246" s="764"/>
      <c r="J246" s="764"/>
      <c r="K246" s="350"/>
      <c r="L246" s="744">
        <f>IF($E$50="первая",0,MAX(G246:J250))</f>
        <v>0</v>
      </c>
      <c r="M246" s="757">
        <v>100</v>
      </c>
      <c r="N246" s="757"/>
    </row>
    <row r="247" spans="1:14" ht="12.75" customHeight="1">
      <c r="A247" s="769"/>
      <c r="B247" s="774"/>
      <c r="C247" s="775"/>
      <c r="D247" s="775"/>
      <c r="E247" s="775"/>
      <c r="F247" s="776"/>
      <c r="G247" s="745"/>
      <c r="H247" s="765"/>
      <c r="I247" s="765"/>
      <c r="J247" s="765"/>
      <c r="K247" s="350"/>
      <c r="L247" s="744"/>
      <c r="M247" s="758"/>
      <c r="N247" s="758"/>
    </row>
    <row r="248" spans="1:14" ht="6" customHeight="1">
      <c r="A248" s="769"/>
      <c r="B248" s="774"/>
      <c r="C248" s="775"/>
      <c r="D248" s="775"/>
      <c r="E248" s="775"/>
      <c r="F248" s="776"/>
      <c r="G248" s="745"/>
      <c r="H248" s="765"/>
      <c r="I248" s="765"/>
      <c r="J248" s="765"/>
      <c r="K248" s="350"/>
      <c r="L248" s="744"/>
      <c r="M248" s="758"/>
      <c r="N248" s="758"/>
    </row>
    <row r="249" spans="1:14" ht="5.25" customHeight="1">
      <c r="A249" s="769"/>
      <c r="B249" s="774"/>
      <c r="C249" s="775"/>
      <c r="D249" s="775"/>
      <c r="E249" s="775"/>
      <c r="F249" s="776"/>
      <c r="G249" s="745"/>
      <c r="H249" s="765"/>
      <c r="I249" s="765"/>
      <c r="J249" s="765"/>
      <c r="K249" s="350"/>
      <c r="L249" s="744"/>
      <c r="M249" s="758"/>
      <c r="N249" s="758"/>
    </row>
    <row r="250" spans="1:14" ht="12.75" customHeight="1">
      <c r="A250" s="770"/>
      <c r="B250" s="777"/>
      <c r="C250" s="778"/>
      <c r="D250" s="778"/>
      <c r="E250" s="778"/>
      <c r="F250" s="779"/>
      <c r="G250" s="743"/>
      <c r="H250" s="766"/>
      <c r="I250" s="766"/>
      <c r="J250" s="766"/>
      <c r="K250" s="350"/>
      <c r="L250" s="744"/>
      <c r="M250" s="759"/>
      <c r="N250" s="759"/>
    </row>
    <row r="251" spans="1:18" ht="15" customHeight="1">
      <c r="A251" s="115" t="s">
        <v>394</v>
      </c>
      <c r="B251" s="874" t="s">
        <v>395</v>
      </c>
      <c r="C251" s="874"/>
      <c r="D251" s="874"/>
      <c r="E251" s="874"/>
      <c r="F251" s="874"/>
      <c r="G251" s="874"/>
      <c r="H251" s="874"/>
      <c r="I251" s="874"/>
      <c r="J251" s="397"/>
      <c r="K251" s="350"/>
      <c r="L251" s="387"/>
      <c r="M251" s="387"/>
      <c r="N251" s="373"/>
      <c r="O251" s="3"/>
      <c r="R251" s="401"/>
    </row>
    <row r="252" spans="1:68" s="374" customFormat="1" ht="3.75" customHeight="1">
      <c r="A252" s="393"/>
      <c r="B252" s="393"/>
      <c r="C252" s="393"/>
      <c r="D252" s="394"/>
      <c r="E252" s="394"/>
      <c r="F252" s="394"/>
      <c r="G252" s="394"/>
      <c r="H252" s="394"/>
      <c r="I252" s="394"/>
      <c r="J252" s="397"/>
      <c r="K252" s="350"/>
      <c r="L252" s="387"/>
      <c r="M252" s="387"/>
      <c r="N252" s="373"/>
      <c r="O252" s="3"/>
      <c r="P252" s="3"/>
      <c r="Q252" s="3"/>
      <c r="R252" s="394"/>
      <c r="S252" s="394"/>
      <c r="T252" s="394"/>
      <c r="U252" s="394"/>
      <c r="V252" s="394"/>
      <c r="W252" s="394"/>
      <c r="X252" s="394"/>
      <c r="Y252" s="394"/>
      <c r="Z252" s="394"/>
      <c r="AA252" s="394"/>
      <c r="AB252" s="394"/>
      <c r="AC252" s="394"/>
      <c r="AD252" s="394"/>
      <c r="AE252" s="394"/>
      <c r="AF252" s="394"/>
      <c r="AG252" s="394"/>
      <c r="AH252" s="394"/>
      <c r="AI252" s="394"/>
      <c r="AJ252" s="394"/>
      <c r="AK252" s="394"/>
      <c r="AL252" s="394"/>
      <c r="AM252" s="394"/>
      <c r="AN252" s="394"/>
      <c r="AO252" s="394"/>
      <c r="AP252" s="394"/>
      <c r="AQ252" s="394"/>
      <c r="AR252" s="394"/>
      <c r="AS252" s="394"/>
      <c r="AT252" s="394"/>
      <c r="AU252" s="394"/>
      <c r="AV252" s="394"/>
      <c r="AW252" s="394"/>
      <c r="AX252" s="394"/>
      <c r="AY252" s="394"/>
      <c r="AZ252" s="394"/>
      <c r="BA252" s="394"/>
      <c r="BB252" s="394"/>
      <c r="BC252" s="394"/>
      <c r="BD252" s="394"/>
      <c r="BE252" s="394"/>
      <c r="BF252" s="375"/>
      <c r="BG252" s="395"/>
      <c r="BH252" s="353"/>
      <c r="BI252" s="353"/>
      <c r="BJ252" s="396"/>
      <c r="BK252" s="353"/>
      <c r="BL252" s="353"/>
      <c r="BM252" s="353"/>
      <c r="BN252" s="353"/>
      <c r="BO252" s="353"/>
      <c r="BP252" s="353"/>
    </row>
    <row r="253" spans="1:15" s="13" customFormat="1" ht="14.25" customHeight="1">
      <c r="A253" s="909" t="s">
        <v>157</v>
      </c>
      <c r="B253" s="714" t="s">
        <v>119</v>
      </c>
      <c r="C253" s="716"/>
      <c r="D253" s="831" t="s">
        <v>240</v>
      </c>
      <c r="E253" s="746" t="s">
        <v>120</v>
      </c>
      <c r="F253" s="747"/>
      <c r="G253" s="747"/>
      <c r="H253" s="747"/>
      <c r="I253" s="747"/>
      <c r="J253" s="748"/>
      <c r="K253" s="350"/>
      <c r="L253" s="38"/>
      <c r="M253" s="387"/>
      <c r="N253" s="373"/>
      <c r="O253" s="3"/>
    </row>
    <row r="254" spans="1:17" s="13" customFormat="1" ht="14.25">
      <c r="A254" s="910"/>
      <c r="B254" s="717"/>
      <c r="C254" s="719"/>
      <c r="D254" s="832"/>
      <c r="E254" s="797" t="s">
        <v>121</v>
      </c>
      <c r="F254" s="798"/>
      <c r="G254" s="798"/>
      <c r="H254" s="798"/>
      <c r="I254" s="798"/>
      <c r="J254" s="799"/>
      <c r="K254" s="350"/>
      <c r="L254" s="38"/>
      <c r="M254" s="387"/>
      <c r="N254" s="373"/>
      <c r="O254" s="3"/>
      <c r="P254" s="47"/>
      <c r="Q254" s="47"/>
    </row>
    <row r="255" spans="1:15" s="13" customFormat="1" ht="12.75" customHeight="1">
      <c r="A255" s="911"/>
      <c r="B255" s="720"/>
      <c r="C255" s="722"/>
      <c r="D255" s="833"/>
      <c r="E255" s="2">
        <v>0</v>
      </c>
      <c r="F255" s="57" t="s">
        <v>47</v>
      </c>
      <c r="G255" s="2" t="s">
        <v>48</v>
      </c>
      <c r="H255" s="2" t="s">
        <v>122</v>
      </c>
      <c r="I255" s="2" t="s">
        <v>228</v>
      </c>
      <c r="J255" s="2" t="s">
        <v>229</v>
      </c>
      <c r="K255" s="350"/>
      <c r="L255" s="38"/>
      <c r="M255" s="387"/>
      <c r="N255" s="373"/>
      <c r="O255" s="3"/>
    </row>
    <row r="256" spans="1:15" ht="12.75" customHeight="1">
      <c r="A256" s="906" t="s">
        <v>397</v>
      </c>
      <c r="B256" s="723" t="s">
        <v>423</v>
      </c>
      <c r="C256" s="725"/>
      <c r="D256" s="875" t="s">
        <v>485</v>
      </c>
      <c r="E256" s="932" t="s">
        <v>124</v>
      </c>
      <c r="F256" s="14" t="s">
        <v>227</v>
      </c>
      <c r="G256" s="17" t="s">
        <v>274</v>
      </c>
      <c r="H256" s="14" t="s">
        <v>307</v>
      </c>
      <c r="I256" s="18" t="s">
        <v>308</v>
      </c>
      <c r="J256" s="18" t="s">
        <v>309</v>
      </c>
      <c r="K256" s="350"/>
      <c r="M256" s="387"/>
      <c r="N256" s="373"/>
      <c r="O256" s="3"/>
    </row>
    <row r="257" spans="1:14" ht="17.25" customHeight="1">
      <c r="A257" s="907"/>
      <c r="B257" s="726"/>
      <c r="C257" s="728"/>
      <c r="D257" s="876"/>
      <c r="E257" s="933"/>
      <c r="F257" s="15" t="s">
        <v>371</v>
      </c>
      <c r="G257" s="15" t="s">
        <v>125</v>
      </c>
      <c r="H257" s="15" t="s">
        <v>125</v>
      </c>
      <c r="I257" s="16" t="s">
        <v>125</v>
      </c>
      <c r="J257" s="712" t="s">
        <v>348</v>
      </c>
      <c r="K257" s="350"/>
      <c r="M257" s="41"/>
      <c r="N257" s="42"/>
    </row>
    <row r="258" spans="1:14" ht="24">
      <c r="A258" s="907"/>
      <c r="B258" s="726"/>
      <c r="C258" s="728"/>
      <c r="D258" s="876"/>
      <c r="E258" s="933"/>
      <c r="F258" s="63" t="s">
        <v>237</v>
      </c>
      <c r="G258" s="65" t="s">
        <v>239</v>
      </c>
      <c r="H258" s="63" t="s">
        <v>310</v>
      </c>
      <c r="I258" s="63" t="s">
        <v>311</v>
      </c>
      <c r="J258" s="712"/>
      <c r="K258" s="350"/>
      <c r="M258" s="41"/>
      <c r="N258" s="42"/>
    </row>
    <row r="259" spans="1:14" ht="24">
      <c r="A259" s="907"/>
      <c r="B259" s="726"/>
      <c r="C259" s="728"/>
      <c r="D259" s="876"/>
      <c r="E259" s="933"/>
      <c r="F259" s="63" t="s">
        <v>238</v>
      </c>
      <c r="G259" s="65" t="s">
        <v>313</v>
      </c>
      <c r="H259" s="63" t="s">
        <v>314</v>
      </c>
      <c r="I259" s="63" t="s">
        <v>315</v>
      </c>
      <c r="J259" s="66" t="s">
        <v>312</v>
      </c>
      <c r="K259" s="350"/>
      <c r="M259" s="41"/>
      <c r="N259" s="42"/>
    </row>
    <row r="260" spans="1:14" ht="24">
      <c r="A260" s="907"/>
      <c r="B260" s="810" t="s">
        <v>424</v>
      </c>
      <c r="C260" s="812"/>
      <c r="D260" s="876"/>
      <c r="E260" s="933"/>
      <c r="F260" s="63" t="s">
        <v>51</v>
      </c>
      <c r="G260" s="65" t="s">
        <v>50</v>
      </c>
      <c r="H260" s="63" t="s">
        <v>166</v>
      </c>
      <c r="I260" s="63" t="s">
        <v>230</v>
      </c>
      <c r="J260" s="66" t="s">
        <v>231</v>
      </c>
      <c r="K260" s="350"/>
      <c r="M260" s="43"/>
      <c r="N260" s="44"/>
    </row>
    <row r="261" spans="1:14" ht="10.5" customHeight="1">
      <c r="A261" s="907"/>
      <c r="B261" s="810"/>
      <c r="C261" s="812"/>
      <c r="D261" s="876"/>
      <c r="E261" s="223"/>
      <c r="F261" s="67"/>
      <c r="G261" s="105"/>
      <c r="H261" s="67"/>
      <c r="I261" s="226"/>
      <c r="J261" s="66"/>
      <c r="K261" s="350"/>
      <c r="M261" s="39"/>
      <c r="N261" s="40"/>
    </row>
    <row r="262" spans="1:14" ht="12.75" customHeight="1">
      <c r="A262" s="907"/>
      <c r="B262" s="810"/>
      <c r="C262" s="812"/>
      <c r="D262" s="876"/>
      <c r="E262" s="742">
        <f>IF(AND(F262="",G262="",H262="",I262="",J262=""),IF(fio="","",0),"")</f>
      </c>
      <c r="F262" s="740"/>
      <c r="G262" s="740"/>
      <c r="H262" s="740"/>
      <c r="I262" s="740"/>
      <c r="J262" s="740"/>
      <c r="K262" s="350"/>
      <c r="L262" s="38">
        <f>SUM(E262:J263)</f>
        <v>0</v>
      </c>
      <c r="M262" s="39">
        <v>340</v>
      </c>
      <c r="N262" s="40"/>
    </row>
    <row r="263" spans="1:14" ht="12.75" customHeight="1">
      <c r="A263" s="908"/>
      <c r="B263" s="854"/>
      <c r="C263" s="856"/>
      <c r="D263" s="877"/>
      <c r="E263" s="743"/>
      <c r="F263" s="741"/>
      <c r="G263" s="741"/>
      <c r="H263" s="741"/>
      <c r="I263" s="741"/>
      <c r="J263" s="741"/>
      <c r="K263" s="350"/>
      <c r="M263" s="39"/>
      <c r="N263" s="40"/>
    </row>
    <row r="264" spans="1:14" ht="12.75" customHeight="1">
      <c r="A264" s="906" t="s">
        <v>398</v>
      </c>
      <c r="B264" s="723" t="s">
        <v>415</v>
      </c>
      <c r="C264" s="880"/>
      <c r="D264" s="875" t="s">
        <v>452</v>
      </c>
      <c r="E264" s="932" t="s">
        <v>124</v>
      </c>
      <c r="F264" s="14" t="s">
        <v>227</v>
      </c>
      <c r="G264" s="17" t="s">
        <v>274</v>
      </c>
      <c r="H264" s="14" t="s">
        <v>307</v>
      </c>
      <c r="I264" s="18" t="s">
        <v>308</v>
      </c>
      <c r="J264" s="18" t="s">
        <v>309</v>
      </c>
      <c r="K264" s="350"/>
      <c r="M264" s="39"/>
      <c r="N264" s="40"/>
    </row>
    <row r="265" spans="1:14" ht="12.75" customHeight="1">
      <c r="A265" s="907"/>
      <c r="B265" s="881"/>
      <c r="C265" s="882"/>
      <c r="D265" s="876"/>
      <c r="E265" s="933"/>
      <c r="F265" s="15" t="s">
        <v>371</v>
      </c>
      <c r="G265" s="15" t="s">
        <v>125</v>
      </c>
      <c r="H265" s="15" t="s">
        <v>125</v>
      </c>
      <c r="I265" s="16" t="s">
        <v>125</v>
      </c>
      <c r="J265" s="712" t="s">
        <v>348</v>
      </c>
      <c r="K265" s="350"/>
      <c r="M265" s="39"/>
      <c r="N265" s="40"/>
    </row>
    <row r="266" spans="1:14" ht="5.25" customHeight="1">
      <c r="A266" s="907"/>
      <c r="B266" s="881"/>
      <c r="C266" s="882"/>
      <c r="D266" s="876"/>
      <c r="E266" s="933"/>
      <c r="F266" s="58"/>
      <c r="G266" s="68"/>
      <c r="H266" s="69"/>
      <c r="I266" s="225"/>
      <c r="J266" s="712"/>
      <c r="K266" s="350"/>
      <c r="M266" s="39"/>
      <c r="N266" s="40"/>
    </row>
    <row r="267" spans="1:14" ht="24" customHeight="1">
      <c r="A267" s="907"/>
      <c r="B267" s="881"/>
      <c r="C267" s="882"/>
      <c r="D267" s="876"/>
      <c r="E267" s="933"/>
      <c r="F267" s="63" t="s">
        <v>233</v>
      </c>
      <c r="G267" s="65" t="s">
        <v>234</v>
      </c>
      <c r="H267" s="63" t="s">
        <v>316</v>
      </c>
      <c r="I267" s="63" t="s">
        <v>317</v>
      </c>
      <c r="J267" s="712"/>
      <c r="K267" s="350"/>
      <c r="M267" s="39"/>
      <c r="N267" s="40"/>
    </row>
    <row r="268" spans="1:14" ht="27" customHeight="1">
      <c r="A268" s="907"/>
      <c r="B268" s="881"/>
      <c r="C268" s="882"/>
      <c r="D268" s="876"/>
      <c r="E268" s="933"/>
      <c r="F268" s="63" t="s">
        <v>235</v>
      </c>
      <c r="G268" s="65" t="s">
        <v>236</v>
      </c>
      <c r="H268" s="63" t="s">
        <v>319</v>
      </c>
      <c r="I268" s="63" t="s">
        <v>320</v>
      </c>
      <c r="J268" s="66" t="s">
        <v>318</v>
      </c>
      <c r="K268" s="350"/>
      <c r="M268" s="39"/>
      <c r="N268" s="40"/>
    </row>
    <row r="269" spans="1:14" ht="30.75" customHeight="1">
      <c r="A269" s="907"/>
      <c r="B269" s="881"/>
      <c r="C269" s="882"/>
      <c r="D269" s="876"/>
      <c r="E269" s="933"/>
      <c r="F269" s="63" t="s">
        <v>51</v>
      </c>
      <c r="G269" s="65" t="s">
        <v>50</v>
      </c>
      <c r="H269" s="63" t="s">
        <v>166</v>
      </c>
      <c r="I269" s="63" t="s">
        <v>230</v>
      </c>
      <c r="J269" s="66" t="s">
        <v>231</v>
      </c>
      <c r="K269" s="350"/>
      <c r="M269" s="39"/>
      <c r="N269" s="40"/>
    </row>
    <row r="270" spans="1:14" ht="12.75" customHeight="1">
      <c r="A270" s="907"/>
      <c r="B270" s="881"/>
      <c r="C270" s="882"/>
      <c r="D270" s="876"/>
      <c r="E270" s="742">
        <f>IF(AND(F270="",G270="",H270="",I270="",J270=""),IF(fio="","",0),"")</f>
      </c>
      <c r="F270" s="740"/>
      <c r="G270" s="740"/>
      <c r="H270" s="740"/>
      <c r="I270" s="740"/>
      <c r="J270" s="740"/>
      <c r="K270" s="350"/>
      <c r="L270" s="38">
        <f>SUM(E270:J271)</f>
        <v>0</v>
      </c>
      <c r="M270" s="39">
        <v>340</v>
      </c>
      <c r="N270" s="40"/>
    </row>
    <row r="271" spans="1:14" ht="12.75" customHeight="1">
      <c r="A271" s="908"/>
      <c r="B271" s="883"/>
      <c r="C271" s="884"/>
      <c r="D271" s="877"/>
      <c r="E271" s="743"/>
      <c r="F271" s="741"/>
      <c r="G271" s="741"/>
      <c r="H271" s="741"/>
      <c r="I271" s="741"/>
      <c r="J271" s="741"/>
      <c r="K271" s="350"/>
      <c r="M271" s="39"/>
      <c r="N271" s="40"/>
    </row>
    <row r="272" spans="1:14" ht="12.75" customHeight="1">
      <c r="A272" s="906" t="s">
        <v>399</v>
      </c>
      <c r="B272" s="723" t="s">
        <v>416</v>
      </c>
      <c r="C272" s="724"/>
      <c r="D272" s="725"/>
      <c r="E272" s="711" t="s">
        <v>136</v>
      </c>
      <c r="F272" s="14" t="s">
        <v>227</v>
      </c>
      <c r="G272" s="17" t="s">
        <v>274</v>
      </c>
      <c r="H272" s="14" t="s">
        <v>307</v>
      </c>
      <c r="I272" s="18" t="s">
        <v>308</v>
      </c>
      <c r="J272" s="18" t="s">
        <v>309</v>
      </c>
      <c r="K272" s="350"/>
      <c r="M272" s="39"/>
      <c r="N272" s="40"/>
    </row>
    <row r="273" spans="1:14" ht="12.75" customHeight="1">
      <c r="A273" s="907"/>
      <c r="B273" s="726"/>
      <c r="C273" s="727"/>
      <c r="D273" s="728"/>
      <c r="E273" s="712"/>
      <c r="F273" s="15" t="s">
        <v>371</v>
      </c>
      <c r="G273" s="15" t="s">
        <v>125</v>
      </c>
      <c r="H273" s="15" t="s">
        <v>125</v>
      </c>
      <c r="I273" s="16" t="s">
        <v>125</v>
      </c>
      <c r="J273" s="712" t="s">
        <v>348</v>
      </c>
      <c r="K273" s="350"/>
      <c r="M273" s="39"/>
      <c r="N273" s="40"/>
    </row>
    <row r="274" spans="1:14" ht="43.5" customHeight="1">
      <c r="A274" s="907"/>
      <c r="B274" s="726"/>
      <c r="C274" s="727"/>
      <c r="D274" s="728"/>
      <c r="E274" s="712"/>
      <c r="F274" s="15"/>
      <c r="G274" s="102"/>
      <c r="H274" s="15"/>
      <c r="I274" s="224"/>
      <c r="J274" s="712"/>
      <c r="K274" s="350"/>
      <c r="M274" s="39"/>
      <c r="N274" s="40"/>
    </row>
    <row r="275" spans="1:14" ht="24">
      <c r="A275" s="907"/>
      <c r="B275" s="726"/>
      <c r="C275" s="727"/>
      <c r="D275" s="728"/>
      <c r="E275" s="712"/>
      <c r="F275" s="70" t="s">
        <v>52</v>
      </c>
      <c r="G275" s="63" t="s">
        <v>53</v>
      </c>
      <c r="H275" s="65" t="s">
        <v>321</v>
      </c>
      <c r="I275" s="63" t="s">
        <v>322</v>
      </c>
      <c r="J275" s="712"/>
      <c r="K275" s="350"/>
      <c r="M275" s="39"/>
      <c r="N275" s="40"/>
    </row>
    <row r="276" spans="1:14" ht="26.25" customHeight="1">
      <c r="A276" s="907"/>
      <c r="B276" s="810" t="s">
        <v>0</v>
      </c>
      <c r="C276" s="811"/>
      <c r="D276" s="812"/>
      <c r="E276" s="712"/>
      <c r="F276" s="70" t="s">
        <v>324</v>
      </c>
      <c r="G276" s="63" t="s">
        <v>325</v>
      </c>
      <c r="H276" s="65" t="s">
        <v>326</v>
      </c>
      <c r="I276" s="63" t="s">
        <v>327</v>
      </c>
      <c r="J276" s="63" t="s">
        <v>323</v>
      </c>
      <c r="K276" s="350"/>
      <c r="M276" s="39"/>
      <c r="N276" s="40"/>
    </row>
    <row r="277" spans="1:14" ht="24" customHeight="1">
      <c r="A277" s="907"/>
      <c r="B277" s="810" t="s">
        <v>1</v>
      </c>
      <c r="C277" s="811"/>
      <c r="D277" s="812"/>
      <c r="E277" s="712"/>
      <c r="F277" s="70" t="s">
        <v>51</v>
      </c>
      <c r="G277" s="63" t="s">
        <v>50</v>
      </c>
      <c r="H277" s="65" t="s">
        <v>165</v>
      </c>
      <c r="I277" s="63" t="s">
        <v>329</v>
      </c>
      <c r="J277" s="63" t="s">
        <v>328</v>
      </c>
      <c r="K277" s="350"/>
      <c r="M277" s="39"/>
      <c r="N277" s="40"/>
    </row>
    <row r="278" spans="1:14" ht="35.25" customHeight="1">
      <c r="A278" s="907"/>
      <c r="B278" s="810"/>
      <c r="C278" s="811"/>
      <c r="D278" s="812"/>
      <c r="E278" s="713"/>
      <c r="F278" s="72"/>
      <c r="G278" s="71"/>
      <c r="H278" s="73"/>
      <c r="I278" s="71"/>
      <c r="J278" s="101"/>
      <c r="K278" s="350"/>
      <c r="M278" s="39"/>
      <c r="N278" s="40"/>
    </row>
    <row r="279" spans="1:14" ht="12.75" customHeight="1">
      <c r="A279" s="907"/>
      <c r="B279" s="810"/>
      <c r="C279" s="811"/>
      <c r="D279" s="812"/>
      <c r="E279" s="742">
        <f>IF(AND(F279="",G279="",H279="",I279="",J279=""),IF(fio="","",0),"")</f>
      </c>
      <c r="F279" s="740"/>
      <c r="G279" s="740"/>
      <c r="H279" s="740"/>
      <c r="I279" s="740"/>
      <c r="J279" s="740"/>
      <c r="K279" s="350"/>
      <c r="L279" s="38">
        <f>SUM(E279:J280)</f>
        <v>0</v>
      </c>
      <c r="M279" s="39">
        <v>340</v>
      </c>
      <c r="N279" s="40"/>
    </row>
    <row r="280" spans="1:14" ht="12.75" customHeight="1">
      <c r="A280" s="908"/>
      <c r="B280" s="854"/>
      <c r="C280" s="855"/>
      <c r="D280" s="856"/>
      <c r="E280" s="743"/>
      <c r="F280" s="741"/>
      <c r="G280" s="741"/>
      <c r="H280" s="741"/>
      <c r="I280" s="741"/>
      <c r="J280" s="741"/>
      <c r="K280" s="350"/>
      <c r="M280" s="39"/>
      <c r="N280" s="40"/>
    </row>
    <row r="281" spans="1:14" ht="12.75" customHeight="1">
      <c r="A281" s="909" t="s">
        <v>157</v>
      </c>
      <c r="B281" s="714" t="s">
        <v>119</v>
      </c>
      <c r="C281" s="716"/>
      <c r="D281" s="831" t="s">
        <v>240</v>
      </c>
      <c r="E281" s="746" t="s">
        <v>120</v>
      </c>
      <c r="F281" s="747"/>
      <c r="G281" s="747"/>
      <c r="H281" s="747"/>
      <c r="I281" s="747"/>
      <c r="J281" s="748"/>
      <c r="K281" s="350"/>
      <c r="M281" s="39"/>
      <c r="N281" s="40"/>
    </row>
    <row r="282" spans="1:14" ht="14.25">
      <c r="A282" s="910"/>
      <c r="B282" s="717"/>
      <c r="C282" s="719"/>
      <c r="D282" s="832"/>
      <c r="E282" s="797" t="s">
        <v>121</v>
      </c>
      <c r="F282" s="798"/>
      <c r="G282" s="798"/>
      <c r="H282" s="798"/>
      <c r="I282" s="798"/>
      <c r="J282" s="799"/>
      <c r="K282" s="350"/>
      <c r="M282" s="39"/>
      <c r="N282" s="40"/>
    </row>
    <row r="283" spans="1:14" ht="12.75" customHeight="1">
      <c r="A283" s="911"/>
      <c r="B283" s="720"/>
      <c r="C283" s="722"/>
      <c r="D283" s="833"/>
      <c r="E283" s="2">
        <v>0</v>
      </c>
      <c r="F283" s="57" t="s">
        <v>47</v>
      </c>
      <c r="G283" s="2" t="s">
        <v>48</v>
      </c>
      <c r="H283" s="2" t="s">
        <v>122</v>
      </c>
      <c r="I283" s="2" t="s">
        <v>228</v>
      </c>
      <c r="J283" s="2" t="s">
        <v>229</v>
      </c>
      <c r="K283" s="350"/>
      <c r="M283" s="39"/>
      <c r="N283" s="40"/>
    </row>
    <row r="284" spans="1:14" ht="12.75" customHeight="1">
      <c r="A284" s="906" t="s">
        <v>400</v>
      </c>
      <c r="B284" s="723" t="s">
        <v>478</v>
      </c>
      <c r="C284" s="880"/>
      <c r="D284" s="875" t="s">
        <v>344</v>
      </c>
      <c r="E284" s="711" t="s">
        <v>124</v>
      </c>
      <c r="F284" s="14" t="s">
        <v>227</v>
      </c>
      <c r="G284" s="17" t="s">
        <v>274</v>
      </c>
      <c r="H284" s="14" t="s">
        <v>307</v>
      </c>
      <c r="I284" s="18" t="s">
        <v>308</v>
      </c>
      <c r="J284" s="18" t="s">
        <v>309</v>
      </c>
      <c r="K284" s="350"/>
      <c r="M284" s="39"/>
      <c r="N284" s="40"/>
    </row>
    <row r="285" spans="1:14" ht="12.75" customHeight="1">
      <c r="A285" s="907"/>
      <c r="B285" s="881"/>
      <c r="C285" s="882"/>
      <c r="D285" s="876"/>
      <c r="E285" s="712"/>
      <c r="F285" s="15" t="s">
        <v>371</v>
      </c>
      <c r="G285" s="15" t="s">
        <v>125</v>
      </c>
      <c r="H285" s="15" t="s">
        <v>125</v>
      </c>
      <c r="I285" s="16" t="s">
        <v>125</v>
      </c>
      <c r="J285" s="16" t="s">
        <v>349</v>
      </c>
      <c r="K285" s="350"/>
      <c r="M285" s="39"/>
      <c r="N285" s="40"/>
    </row>
    <row r="286" spans="1:14" ht="21" customHeight="1">
      <c r="A286" s="907"/>
      <c r="B286" s="881"/>
      <c r="C286" s="882"/>
      <c r="D286" s="876"/>
      <c r="E286" s="712"/>
      <c r="F286" s="15"/>
      <c r="G286" s="102"/>
      <c r="H286" s="15"/>
      <c r="I286" s="224"/>
      <c r="J286" s="16" t="s">
        <v>54</v>
      </c>
      <c r="K286" s="350"/>
      <c r="M286" s="39"/>
      <c r="N286" s="40"/>
    </row>
    <row r="287" spans="1:14" ht="24">
      <c r="A287" s="907"/>
      <c r="B287" s="881"/>
      <c r="C287" s="882"/>
      <c r="D287" s="876"/>
      <c r="E287" s="712"/>
      <c r="F287" s="70" t="s">
        <v>241</v>
      </c>
      <c r="G287" s="63" t="s">
        <v>242</v>
      </c>
      <c r="H287" s="65" t="s">
        <v>330</v>
      </c>
      <c r="I287" s="63" t="s">
        <v>331</v>
      </c>
      <c r="J287" s="63" t="s">
        <v>332</v>
      </c>
      <c r="K287" s="350"/>
      <c r="M287" s="39"/>
      <c r="N287" s="40"/>
    </row>
    <row r="288" spans="1:14" ht="24">
      <c r="A288" s="907"/>
      <c r="B288" s="881"/>
      <c r="C288" s="882"/>
      <c r="D288" s="876"/>
      <c r="E288" s="712"/>
      <c r="F288" s="70" t="s">
        <v>243</v>
      </c>
      <c r="G288" s="63" t="s">
        <v>333</v>
      </c>
      <c r="H288" s="65" t="s">
        <v>334</v>
      </c>
      <c r="I288" s="63" t="s">
        <v>335</v>
      </c>
      <c r="J288" s="63" t="s">
        <v>328</v>
      </c>
      <c r="K288" s="350"/>
      <c r="M288" s="39"/>
      <c r="N288" s="40"/>
    </row>
    <row r="289" spans="1:14" ht="24">
      <c r="A289" s="907"/>
      <c r="B289" s="881"/>
      <c r="C289" s="882"/>
      <c r="D289" s="876"/>
      <c r="E289" s="712"/>
      <c r="F289" s="70" t="s">
        <v>51</v>
      </c>
      <c r="G289" s="63" t="s">
        <v>50</v>
      </c>
      <c r="H289" s="65" t="s">
        <v>165</v>
      </c>
      <c r="I289" s="63" t="s">
        <v>329</v>
      </c>
      <c r="J289" s="63"/>
      <c r="K289" s="350"/>
      <c r="M289" s="39"/>
      <c r="N289" s="40"/>
    </row>
    <row r="290" spans="1:14" ht="23.25" customHeight="1">
      <c r="A290" s="907"/>
      <c r="B290" s="881"/>
      <c r="C290" s="882"/>
      <c r="D290" s="876"/>
      <c r="E290" s="713"/>
      <c r="F290" s="106"/>
      <c r="G290" s="106"/>
      <c r="H290" s="106"/>
      <c r="I290" s="227"/>
      <c r="J290" s="63"/>
      <c r="K290" s="350"/>
      <c r="M290" s="39"/>
      <c r="N290" s="40"/>
    </row>
    <row r="291" spans="1:14" ht="12.75" customHeight="1">
      <c r="A291" s="907"/>
      <c r="B291" s="881"/>
      <c r="C291" s="882"/>
      <c r="D291" s="876"/>
      <c r="E291" s="742">
        <f>IF(AND(F291="",G291="",H291="",I291="",J291=""),IF(fio="","",0),"")</f>
      </c>
      <c r="F291" s="740"/>
      <c r="G291" s="740"/>
      <c r="H291" s="740"/>
      <c r="I291" s="740"/>
      <c r="J291" s="740"/>
      <c r="K291" s="350"/>
      <c r="L291" s="321">
        <f>SUM(E291:J292)</f>
        <v>0</v>
      </c>
      <c r="M291" s="322">
        <v>340</v>
      </c>
      <c r="N291" s="323"/>
    </row>
    <row r="292" spans="1:14" ht="12.75" customHeight="1">
      <c r="A292" s="908"/>
      <c r="B292" s="883"/>
      <c r="C292" s="884"/>
      <c r="D292" s="877"/>
      <c r="E292" s="743"/>
      <c r="F292" s="741"/>
      <c r="G292" s="741"/>
      <c r="H292" s="741"/>
      <c r="I292" s="741"/>
      <c r="J292" s="741"/>
      <c r="K292" s="350"/>
      <c r="L292" s="321"/>
      <c r="M292" s="322"/>
      <c r="N292" s="323"/>
    </row>
    <row r="293" spans="1:14" ht="32.25" customHeight="1">
      <c r="A293" s="17"/>
      <c r="B293" s="123"/>
      <c r="C293" s="123"/>
      <c r="D293" s="52"/>
      <c r="E293" s="61"/>
      <c r="F293" s="107"/>
      <c r="G293" s="90"/>
      <c r="H293" s="107"/>
      <c r="I293" s="107"/>
      <c r="J293" s="107"/>
      <c r="K293" s="350"/>
      <c r="M293" s="46"/>
      <c r="N293" s="46"/>
    </row>
    <row r="294" spans="1:14" ht="12.75" customHeight="1">
      <c r="A294" s="17"/>
      <c r="B294" s="853" t="s">
        <v>135</v>
      </c>
      <c r="C294" s="853"/>
      <c r="D294" s="52"/>
      <c r="E294" s="52"/>
      <c r="F294" s="52"/>
      <c r="G294" s="52"/>
      <c r="H294" s="52"/>
      <c r="I294" s="52"/>
      <c r="J294" s="52"/>
      <c r="K294" s="350"/>
      <c r="M294" s="46"/>
      <c r="N294" s="46"/>
    </row>
    <row r="295" spans="1:15" s="13" customFormat="1" ht="14.25" customHeight="1">
      <c r="A295" s="909" t="s">
        <v>157</v>
      </c>
      <c r="B295" s="714" t="s">
        <v>119</v>
      </c>
      <c r="C295" s="716"/>
      <c r="D295" s="831" t="s">
        <v>240</v>
      </c>
      <c r="E295" s="746" t="s">
        <v>120</v>
      </c>
      <c r="F295" s="747"/>
      <c r="G295" s="747"/>
      <c r="H295" s="747"/>
      <c r="I295" s="747"/>
      <c r="J295" s="748"/>
      <c r="K295" s="350"/>
      <c r="L295" s="38"/>
      <c r="M295" s="46"/>
      <c r="N295" s="46"/>
      <c r="O295" s="6"/>
    </row>
    <row r="296" spans="1:17" s="13" customFormat="1" ht="14.25">
      <c r="A296" s="910"/>
      <c r="B296" s="717"/>
      <c r="C296" s="719"/>
      <c r="D296" s="832"/>
      <c r="E296" s="797" t="s">
        <v>121</v>
      </c>
      <c r="F296" s="798"/>
      <c r="G296" s="798"/>
      <c r="H296" s="798"/>
      <c r="I296" s="798"/>
      <c r="J296" s="799"/>
      <c r="K296" s="350"/>
      <c r="L296" s="38"/>
      <c r="M296" s="46"/>
      <c r="N296" s="46"/>
      <c r="O296" s="6"/>
      <c r="P296" s="47"/>
      <c r="Q296" s="47"/>
    </row>
    <row r="297" spans="1:15" s="13" customFormat="1" ht="12.75" customHeight="1">
      <c r="A297" s="911"/>
      <c r="B297" s="720"/>
      <c r="C297" s="722"/>
      <c r="D297" s="833"/>
      <c r="E297" s="2">
        <v>0</v>
      </c>
      <c r="F297" s="57" t="s">
        <v>47</v>
      </c>
      <c r="G297" s="2" t="s">
        <v>48</v>
      </c>
      <c r="H297" s="2" t="s">
        <v>122</v>
      </c>
      <c r="I297" s="2" t="s">
        <v>228</v>
      </c>
      <c r="J297" s="2" t="s">
        <v>229</v>
      </c>
      <c r="K297" s="350"/>
      <c r="L297" s="38"/>
      <c r="M297" s="46"/>
      <c r="N297" s="46"/>
      <c r="O297" s="6"/>
    </row>
    <row r="298" spans="1:15" ht="12.75" customHeight="1">
      <c r="A298" s="906" t="s">
        <v>401</v>
      </c>
      <c r="B298" s="800" t="s">
        <v>463</v>
      </c>
      <c r="C298" s="801"/>
      <c r="D298" s="875" t="s">
        <v>232</v>
      </c>
      <c r="E298" s="711" t="s">
        <v>124</v>
      </c>
      <c r="F298" s="14" t="s">
        <v>227</v>
      </c>
      <c r="G298" s="17" t="s">
        <v>274</v>
      </c>
      <c r="H298" s="14" t="s">
        <v>307</v>
      </c>
      <c r="I298" s="324" t="s">
        <v>308</v>
      </c>
      <c r="J298" s="14" t="s">
        <v>309</v>
      </c>
      <c r="K298" s="350"/>
      <c r="M298" s="46"/>
      <c r="N298" s="46"/>
      <c r="O298" s="6"/>
    </row>
    <row r="299" spans="1:14" ht="26.25" customHeight="1">
      <c r="A299" s="907"/>
      <c r="B299" s="802"/>
      <c r="C299" s="803"/>
      <c r="D299" s="876"/>
      <c r="E299" s="712"/>
      <c r="F299" s="15" t="s">
        <v>371</v>
      </c>
      <c r="G299" s="17" t="s">
        <v>125</v>
      </c>
      <c r="H299" s="15" t="s">
        <v>125</v>
      </c>
      <c r="I299" s="17" t="s">
        <v>125</v>
      </c>
      <c r="J299" s="15" t="s">
        <v>348</v>
      </c>
      <c r="K299" s="350"/>
      <c r="M299" s="39"/>
      <c r="N299" s="40"/>
    </row>
    <row r="300" spans="1:14" ht="24">
      <c r="A300" s="907"/>
      <c r="B300" s="802"/>
      <c r="C300" s="803"/>
      <c r="D300" s="876"/>
      <c r="E300" s="712"/>
      <c r="F300" s="63" t="s">
        <v>237</v>
      </c>
      <c r="G300" s="65" t="s">
        <v>239</v>
      </c>
      <c r="H300" s="63" t="s">
        <v>310</v>
      </c>
      <c r="I300" s="65" t="s">
        <v>311</v>
      </c>
      <c r="J300" s="63" t="s">
        <v>312</v>
      </c>
      <c r="K300" s="350"/>
      <c r="M300" s="39"/>
      <c r="N300" s="40"/>
    </row>
    <row r="301" spans="1:14" ht="24.75" customHeight="1">
      <c r="A301" s="907"/>
      <c r="B301" s="802"/>
      <c r="C301" s="803"/>
      <c r="D301" s="876"/>
      <c r="E301" s="712"/>
      <c r="F301" s="63" t="s">
        <v>238</v>
      </c>
      <c r="G301" s="65" t="s">
        <v>313</v>
      </c>
      <c r="H301" s="63" t="s">
        <v>314</v>
      </c>
      <c r="I301" s="65" t="s">
        <v>315</v>
      </c>
      <c r="J301" s="63" t="s">
        <v>231</v>
      </c>
      <c r="K301" s="350"/>
      <c r="M301" s="39"/>
      <c r="N301" s="40"/>
    </row>
    <row r="302" spans="1:14" ht="22.5" customHeight="1">
      <c r="A302" s="907"/>
      <c r="B302" s="802"/>
      <c r="C302" s="803"/>
      <c r="D302" s="876"/>
      <c r="E302" s="712"/>
      <c r="F302" s="63" t="s">
        <v>51</v>
      </c>
      <c r="G302" s="65" t="s">
        <v>50</v>
      </c>
      <c r="H302" s="63" t="s">
        <v>166</v>
      </c>
      <c r="I302" s="65" t="s">
        <v>230</v>
      </c>
      <c r="J302" s="325"/>
      <c r="K302" s="350"/>
      <c r="M302" s="39"/>
      <c r="N302" s="40"/>
    </row>
    <row r="303" spans="1:14" ht="4.5" customHeight="1">
      <c r="A303" s="907"/>
      <c r="B303" s="802"/>
      <c r="C303" s="803"/>
      <c r="D303" s="876"/>
      <c r="E303" s="713"/>
      <c r="F303" s="326"/>
      <c r="H303" s="326"/>
      <c r="J303" s="327"/>
      <c r="K303" s="350"/>
      <c r="M303" s="39"/>
      <c r="N303" s="40"/>
    </row>
    <row r="304" spans="1:14" ht="12.75" customHeight="1">
      <c r="A304" s="907"/>
      <c r="B304" s="802"/>
      <c r="C304" s="803"/>
      <c r="D304" s="876"/>
      <c r="E304" s="742">
        <f>IF(AND(F304="",G304="",H304="",I304="",J304=""),IF(fio="","",0),"")</f>
      </c>
      <c r="F304" s="740"/>
      <c r="G304" s="740"/>
      <c r="H304" s="740"/>
      <c r="I304" s="740"/>
      <c r="J304" s="740"/>
      <c r="K304" s="350"/>
      <c r="L304" s="321">
        <f>SUM(E304:J305)</f>
        <v>0</v>
      </c>
      <c r="M304" s="322"/>
      <c r="N304" s="323">
        <v>340</v>
      </c>
    </row>
    <row r="305" spans="1:14" ht="12.75" customHeight="1">
      <c r="A305" s="908"/>
      <c r="B305" s="804"/>
      <c r="C305" s="805"/>
      <c r="D305" s="877"/>
      <c r="E305" s="743"/>
      <c r="F305" s="741"/>
      <c r="G305" s="741"/>
      <c r="H305" s="741"/>
      <c r="I305" s="741"/>
      <c r="J305" s="741"/>
      <c r="K305" s="350"/>
      <c r="L305" s="321"/>
      <c r="M305" s="322"/>
      <c r="N305" s="323"/>
    </row>
    <row r="306" spans="1:14" ht="12.75" customHeight="1">
      <c r="A306" s="906" t="s">
        <v>402</v>
      </c>
      <c r="B306" s="800" t="s">
        <v>421</v>
      </c>
      <c r="C306" s="1085"/>
      <c r="D306" s="875" t="s">
        <v>232</v>
      </c>
      <c r="E306" s="711" t="s">
        <v>124</v>
      </c>
      <c r="F306" s="14" t="s">
        <v>227</v>
      </c>
      <c r="G306" s="17" t="s">
        <v>274</v>
      </c>
      <c r="H306" s="14" t="s">
        <v>307</v>
      </c>
      <c r="I306" s="18" t="s">
        <v>308</v>
      </c>
      <c r="J306" s="18" t="s">
        <v>309</v>
      </c>
      <c r="K306" s="350"/>
      <c r="M306" s="39"/>
      <c r="N306" s="40"/>
    </row>
    <row r="307" spans="1:14" ht="12.75" customHeight="1">
      <c r="A307" s="907"/>
      <c r="B307" s="1086"/>
      <c r="C307" s="1087"/>
      <c r="D307" s="876"/>
      <c r="E307" s="712"/>
      <c r="F307" s="15" t="s">
        <v>371</v>
      </c>
      <c r="G307" s="15" t="s">
        <v>125</v>
      </c>
      <c r="H307" s="15" t="s">
        <v>125</v>
      </c>
      <c r="I307" s="16" t="s">
        <v>125</v>
      </c>
      <c r="J307" s="16" t="s">
        <v>349</v>
      </c>
      <c r="K307" s="350"/>
      <c r="M307" s="39"/>
      <c r="N307" s="40"/>
    </row>
    <row r="308" spans="1:14" ht="29.25" customHeight="1">
      <c r="A308" s="907"/>
      <c r="B308" s="1086"/>
      <c r="C308" s="1087"/>
      <c r="D308" s="876"/>
      <c r="E308" s="712"/>
      <c r="F308" s="15"/>
      <c r="G308" s="102"/>
      <c r="H308" s="15"/>
      <c r="I308" s="224"/>
      <c r="J308" s="16" t="s">
        <v>54</v>
      </c>
      <c r="K308" s="350"/>
      <c r="M308" s="39"/>
      <c r="N308" s="40"/>
    </row>
    <row r="309" spans="1:14" ht="22.5" customHeight="1">
      <c r="A309" s="907"/>
      <c r="B309" s="1086"/>
      <c r="C309" s="1087"/>
      <c r="D309" s="876"/>
      <c r="E309" s="712"/>
      <c r="F309" s="63" t="s">
        <v>233</v>
      </c>
      <c r="G309" s="65" t="s">
        <v>234</v>
      </c>
      <c r="H309" s="63" t="s">
        <v>316</v>
      </c>
      <c r="I309" s="63" t="s">
        <v>317</v>
      </c>
      <c r="J309" s="66" t="s">
        <v>318</v>
      </c>
      <c r="K309" s="350"/>
      <c r="M309" s="39"/>
      <c r="N309" s="40"/>
    </row>
    <row r="310" spans="1:14" ht="24">
      <c r="A310" s="907"/>
      <c r="B310" s="1088" t="s">
        <v>422</v>
      </c>
      <c r="C310" s="1089"/>
      <c r="D310" s="876"/>
      <c r="E310" s="712"/>
      <c r="F310" s="63" t="s">
        <v>235</v>
      </c>
      <c r="G310" s="65" t="s">
        <v>236</v>
      </c>
      <c r="H310" s="63" t="s">
        <v>319</v>
      </c>
      <c r="I310" s="63" t="s">
        <v>320</v>
      </c>
      <c r="J310" s="66" t="s">
        <v>231</v>
      </c>
      <c r="K310" s="350"/>
      <c r="M310" s="39"/>
      <c r="N310" s="40"/>
    </row>
    <row r="311" spans="1:14" ht="22.5" customHeight="1">
      <c r="A311" s="907"/>
      <c r="B311" s="1088"/>
      <c r="C311" s="1089"/>
      <c r="D311" s="876"/>
      <c r="E311" s="712"/>
      <c r="F311" s="63" t="s">
        <v>51</v>
      </c>
      <c r="G311" s="65" t="s">
        <v>50</v>
      </c>
      <c r="H311" s="63" t="s">
        <v>166</v>
      </c>
      <c r="I311" s="63" t="s">
        <v>230</v>
      </c>
      <c r="J311" s="66"/>
      <c r="K311" s="350"/>
      <c r="M311" s="39"/>
      <c r="N311" s="40"/>
    </row>
    <row r="312" spans="1:14" ht="26.25" customHeight="1">
      <c r="A312" s="907"/>
      <c r="B312" s="1088"/>
      <c r="C312" s="1089"/>
      <c r="D312" s="876"/>
      <c r="E312" s="713"/>
      <c r="F312" s="65"/>
      <c r="G312" s="327"/>
      <c r="H312" s="65"/>
      <c r="I312" s="327"/>
      <c r="J312" s="327"/>
      <c r="K312" s="350"/>
      <c r="M312" s="39"/>
      <c r="N312" s="40"/>
    </row>
    <row r="313" spans="1:14" ht="12.75" customHeight="1">
      <c r="A313" s="907"/>
      <c r="B313" s="1088"/>
      <c r="C313" s="1089"/>
      <c r="D313" s="876"/>
      <c r="E313" s="742">
        <f>IF(AND(F313="",G313="",H313="",I313="",J313=""),IF(fio="","",0),"")</f>
      </c>
      <c r="F313" s="740"/>
      <c r="G313" s="740"/>
      <c r="H313" s="740"/>
      <c r="I313" s="740"/>
      <c r="J313" s="740"/>
      <c r="K313" s="350"/>
      <c r="L313" s="321">
        <f>SUM(E313:J314)</f>
        <v>0</v>
      </c>
      <c r="M313" s="322">
        <v>340</v>
      </c>
      <c r="N313" s="323"/>
    </row>
    <row r="314" spans="1:14" ht="12.75" customHeight="1">
      <c r="A314" s="908"/>
      <c r="B314" s="1090"/>
      <c r="C314" s="1091"/>
      <c r="D314" s="877"/>
      <c r="E314" s="743"/>
      <c r="F314" s="741"/>
      <c r="G314" s="741"/>
      <c r="H314" s="741"/>
      <c r="I314" s="741"/>
      <c r="J314" s="741"/>
      <c r="K314" s="350"/>
      <c r="L314" s="321"/>
      <c r="M314" s="322"/>
      <c r="N314" s="323"/>
    </row>
    <row r="315" spans="1:15" s="13" customFormat="1" ht="14.25" customHeight="1" hidden="1">
      <c r="A315" s="909" t="s">
        <v>157</v>
      </c>
      <c r="B315" s="714" t="s">
        <v>119</v>
      </c>
      <c r="C315" s="716"/>
      <c r="D315" s="831" t="s">
        <v>240</v>
      </c>
      <c r="E315" s="746" t="s">
        <v>120</v>
      </c>
      <c r="F315" s="747"/>
      <c r="G315" s="747"/>
      <c r="H315" s="747"/>
      <c r="I315" s="747"/>
      <c r="J315" s="748"/>
      <c r="K315" s="350"/>
      <c r="L315" s="38"/>
      <c r="M315" s="39"/>
      <c r="N315" s="40"/>
      <c r="O315" s="138"/>
    </row>
    <row r="316" spans="1:17" s="13" customFormat="1" ht="13.5" hidden="1">
      <c r="A316" s="910"/>
      <c r="B316" s="717"/>
      <c r="C316" s="719"/>
      <c r="D316" s="832"/>
      <c r="E316" s="797" t="s">
        <v>121</v>
      </c>
      <c r="F316" s="798"/>
      <c r="G316" s="798"/>
      <c r="H316" s="798"/>
      <c r="I316" s="798"/>
      <c r="J316" s="799"/>
      <c r="K316" s="350"/>
      <c r="L316" s="38"/>
      <c r="M316" s="39"/>
      <c r="N316" s="40"/>
      <c r="O316" s="138"/>
      <c r="P316" s="47"/>
      <c r="Q316" s="47"/>
    </row>
    <row r="317" spans="1:15" s="13" customFormat="1" ht="12.75" customHeight="1" hidden="1">
      <c r="A317" s="911"/>
      <c r="B317" s="720"/>
      <c r="C317" s="722"/>
      <c r="D317" s="833"/>
      <c r="E317" s="2">
        <v>0</v>
      </c>
      <c r="F317" s="57" t="s">
        <v>252</v>
      </c>
      <c r="G317" s="2" t="s">
        <v>253</v>
      </c>
      <c r="H317" s="2" t="s">
        <v>254</v>
      </c>
      <c r="I317" s="2" t="s">
        <v>255</v>
      </c>
      <c r="J317" s="2" t="s">
        <v>256</v>
      </c>
      <c r="K317" s="350"/>
      <c r="L317" s="38"/>
      <c r="M317" s="39"/>
      <c r="N317" s="40"/>
      <c r="O317" s="138"/>
    </row>
    <row r="318" spans="1:14" ht="12.75" customHeight="1">
      <c r="A318" s="906" t="s">
        <v>403</v>
      </c>
      <c r="B318" s="800" t="s">
        <v>571</v>
      </c>
      <c r="C318" s="801"/>
      <c r="D318" s="806" t="s">
        <v>574</v>
      </c>
      <c r="E318" s="932" t="s">
        <v>124</v>
      </c>
      <c r="F318" s="14" t="s">
        <v>227</v>
      </c>
      <c r="G318" s="17" t="s">
        <v>274</v>
      </c>
      <c r="H318" s="14" t="s">
        <v>307</v>
      </c>
      <c r="I318" s="18" t="s">
        <v>308</v>
      </c>
      <c r="J318" s="18" t="s">
        <v>309</v>
      </c>
      <c r="K318" s="350"/>
      <c r="M318" s="39"/>
      <c r="N318" s="40"/>
    </row>
    <row r="319" spans="1:14" ht="12.75" customHeight="1">
      <c r="A319" s="907"/>
      <c r="B319" s="802"/>
      <c r="C319" s="803"/>
      <c r="D319" s="807"/>
      <c r="E319" s="933"/>
      <c r="F319" s="15" t="s">
        <v>371</v>
      </c>
      <c r="G319" s="15" t="s">
        <v>125</v>
      </c>
      <c r="H319" s="15" t="s">
        <v>125</v>
      </c>
      <c r="I319" s="16" t="s">
        <v>125</v>
      </c>
      <c r="J319" s="16" t="s">
        <v>349</v>
      </c>
      <c r="K319" s="350"/>
      <c r="M319" s="39"/>
      <c r="N319" s="40"/>
    </row>
    <row r="320" spans="1:14" ht="16.5" customHeight="1">
      <c r="A320" s="907"/>
      <c r="B320" s="802"/>
      <c r="C320" s="803"/>
      <c r="D320" s="807"/>
      <c r="E320" s="933"/>
      <c r="F320" s="15"/>
      <c r="G320" s="102"/>
      <c r="H320" s="15"/>
      <c r="I320" s="224"/>
      <c r="J320" s="16" t="s">
        <v>54</v>
      </c>
      <c r="K320" s="350"/>
      <c r="M320" s="39"/>
      <c r="N320" s="40"/>
    </row>
    <row r="321" spans="1:14" ht="14.25">
      <c r="A321" s="907"/>
      <c r="B321" s="802"/>
      <c r="C321" s="803"/>
      <c r="D321" s="807"/>
      <c r="E321" s="933"/>
      <c r="F321" s="594" t="s">
        <v>572</v>
      </c>
      <c r="G321" s="594" t="s">
        <v>573</v>
      </c>
      <c r="H321" s="613" t="s">
        <v>576</v>
      </c>
      <c r="I321" s="594" t="s">
        <v>577</v>
      </c>
      <c r="J321" s="614" t="s">
        <v>578</v>
      </c>
      <c r="K321" s="350"/>
      <c r="M321" s="39"/>
      <c r="N321" s="40"/>
    </row>
    <row r="322" spans="1:14" ht="14.25">
      <c r="A322" s="907"/>
      <c r="B322" s="802"/>
      <c r="C322" s="803"/>
      <c r="D322" s="807"/>
      <c r="E322" s="933"/>
      <c r="F322" s="63"/>
      <c r="G322" s="65"/>
      <c r="H322" s="63"/>
      <c r="I322" s="63"/>
      <c r="J322" s="66"/>
      <c r="K322" s="350"/>
      <c r="M322" s="39"/>
      <c r="N322" s="40"/>
    </row>
    <row r="323" spans="1:14" ht="12.75" customHeight="1">
      <c r="A323" s="907"/>
      <c r="B323" s="802"/>
      <c r="C323" s="803"/>
      <c r="D323" s="807"/>
      <c r="E323" s="742">
        <f>IF(AND(F323="",G323="",H323="",I323="",J323=""),IF(fio="","",0),"")</f>
      </c>
      <c r="F323" s="878"/>
      <c r="G323" s="878"/>
      <c r="H323" s="878"/>
      <c r="I323" s="878"/>
      <c r="J323" s="878"/>
      <c r="K323" s="350"/>
      <c r="L323" s="38">
        <f>SUM(E323:J324)</f>
        <v>0</v>
      </c>
      <c r="M323" s="39">
        <v>200</v>
      </c>
      <c r="N323" s="40"/>
    </row>
    <row r="324" spans="1:14" ht="12.75" customHeight="1">
      <c r="A324" s="908"/>
      <c r="B324" s="804"/>
      <c r="C324" s="805"/>
      <c r="D324" s="808"/>
      <c r="E324" s="743"/>
      <c r="F324" s="879"/>
      <c r="G324" s="879"/>
      <c r="H324" s="879"/>
      <c r="I324" s="879"/>
      <c r="J324" s="879"/>
      <c r="K324" s="350"/>
      <c r="M324" s="39"/>
      <c r="N324" s="40"/>
    </row>
    <row r="325" spans="1:15" s="13" customFormat="1" ht="14.25" customHeight="1">
      <c r="A325" s="909" t="s">
        <v>157</v>
      </c>
      <c r="B325" s="714" t="s">
        <v>119</v>
      </c>
      <c r="C325" s="716"/>
      <c r="D325" s="831" t="s">
        <v>240</v>
      </c>
      <c r="E325" s="746" t="s">
        <v>120</v>
      </c>
      <c r="F325" s="747"/>
      <c r="G325" s="747"/>
      <c r="H325" s="747"/>
      <c r="I325" s="747"/>
      <c r="J325" s="748"/>
      <c r="K325" s="350"/>
      <c r="L325" s="38"/>
      <c r="M325" s="39"/>
      <c r="N325" s="40"/>
      <c r="O325" s="138"/>
    </row>
    <row r="326" spans="1:17" s="13" customFormat="1" ht="14.25">
      <c r="A326" s="910"/>
      <c r="B326" s="717"/>
      <c r="C326" s="719"/>
      <c r="D326" s="832"/>
      <c r="E326" s="797" t="s">
        <v>121</v>
      </c>
      <c r="F326" s="798"/>
      <c r="G326" s="798"/>
      <c r="H326" s="798"/>
      <c r="I326" s="798"/>
      <c r="J326" s="799"/>
      <c r="K326" s="350"/>
      <c r="L326" s="38"/>
      <c r="M326" s="39"/>
      <c r="N326" s="40"/>
      <c r="O326" s="138"/>
      <c r="P326" s="47"/>
      <c r="Q326" s="47"/>
    </row>
    <row r="327" spans="1:15" s="13" customFormat="1" ht="12.75" customHeight="1">
      <c r="A327" s="911"/>
      <c r="B327" s="720"/>
      <c r="C327" s="722"/>
      <c r="D327" s="833"/>
      <c r="E327" s="2">
        <v>0</v>
      </c>
      <c r="F327" s="57" t="s">
        <v>345</v>
      </c>
      <c r="G327" s="57" t="s">
        <v>262</v>
      </c>
      <c r="H327" s="2" t="s">
        <v>253</v>
      </c>
      <c r="I327" s="2" t="s">
        <v>254</v>
      </c>
      <c r="J327" s="2" t="s">
        <v>255</v>
      </c>
      <c r="K327" s="350"/>
      <c r="L327" s="38"/>
      <c r="M327" s="39"/>
      <c r="N327" s="40"/>
      <c r="O327" s="138"/>
    </row>
    <row r="328" spans="1:14" ht="12.75" customHeight="1">
      <c r="A328" s="906" t="s">
        <v>404</v>
      </c>
      <c r="B328" s="800" t="s">
        <v>474</v>
      </c>
      <c r="C328" s="801"/>
      <c r="D328" s="806" t="s">
        <v>570</v>
      </c>
      <c r="E328" s="932" t="s">
        <v>124</v>
      </c>
      <c r="F328" s="14" t="s">
        <v>227</v>
      </c>
      <c r="G328" s="17" t="s">
        <v>274</v>
      </c>
      <c r="H328" s="14" t="s">
        <v>307</v>
      </c>
      <c r="I328" s="18" t="s">
        <v>308</v>
      </c>
      <c r="J328" s="18" t="s">
        <v>309</v>
      </c>
      <c r="K328" s="350"/>
      <c r="M328" s="39"/>
      <c r="N328" s="40"/>
    </row>
    <row r="329" spans="1:14" ht="12.75" customHeight="1">
      <c r="A329" s="907"/>
      <c r="B329" s="802"/>
      <c r="C329" s="803"/>
      <c r="D329" s="807"/>
      <c r="E329" s="933"/>
      <c r="F329" s="15" t="s">
        <v>371</v>
      </c>
      <c r="G329" s="15" t="s">
        <v>125</v>
      </c>
      <c r="H329" s="15" t="s">
        <v>125</v>
      </c>
      <c r="I329" s="16" t="s">
        <v>125</v>
      </c>
      <c r="J329" s="16" t="s">
        <v>349</v>
      </c>
      <c r="K329" s="350"/>
      <c r="M329" s="39"/>
      <c r="N329" s="40"/>
    </row>
    <row r="330" spans="1:14" ht="15.75" customHeight="1">
      <c r="A330" s="907"/>
      <c r="B330" s="802"/>
      <c r="C330" s="803"/>
      <c r="D330" s="807"/>
      <c r="E330" s="933"/>
      <c r="F330" s="15"/>
      <c r="G330" s="102"/>
      <c r="H330" s="15"/>
      <c r="I330" s="224"/>
      <c r="J330" s="16" t="s">
        <v>54</v>
      </c>
      <c r="K330" s="350"/>
      <c r="M330" s="39"/>
      <c r="N330" s="40"/>
    </row>
    <row r="331" spans="1:14" ht="27" customHeight="1">
      <c r="A331" s="907"/>
      <c r="B331" s="802"/>
      <c r="C331" s="803"/>
      <c r="D331" s="807"/>
      <c r="E331" s="933"/>
      <c r="F331" s="63" t="s">
        <v>233</v>
      </c>
      <c r="G331" s="63" t="s">
        <v>233</v>
      </c>
      <c r="H331" s="63" t="s">
        <v>257</v>
      </c>
      <c r="I331" s="65" t="s">
        <v>234</v>
      </c>
      <c r="J331" s="63" t="s">
        <v>346</v>
      </c>
      <c r="K331" s="350"/>
      <c r="M331" s="39"/>
      <c r="N331" s="40"/>
    </row>
    <row r="332" spans="1:14" ht="24">
      <c r="A332" s="907"/>
      <c r="B332" s="802"/>
      <c r="C332" s="803"/>
      <c r="D332" s="807"/>
      <c r="E332" s="933"/>
      <c r="F332" s="63" t="s">
        <v>258</v>
      </c>
      <c r="G332" s="63" t="s">
        <v>259</v>
      </c>
      <c r="H332" s="63" t="s">
        <v>259</v>
      </c>
      <c r="I332" s="65" t="s">
        <v>260</v>
      </c>
      <c r="J332" s="63" t="s">
        <v>261</v>
      </c>
      <c r="K332" s="350"/>
      <c r="M332" s="39"/>
      <c r="N332" s="40"/>
    </row>
    <row r="333" spans="1:14" ht="2.25" customHeight="1">
      <c r="A333" s="907"/>
      <c r="B333" s="802"/>
      <c r="C333" s="803"/>
      <c r="D333" s="807"/>
      <c r="E333" s="933"/>
      <c r="F333" s="63"/>
      <c r="G333" s="65"/>
      <c r="H333" s="63"/>
      <c r="I333" s="63"/>
      <c r="J333" s="66"/>
      <c r="K333" s="350"/>
      <c r="M333" s="39"/>
      <c r="N333" s="40"/>
    </row>
    <row r="334" spans="1:14" ht="12.75" customHeight="1">
      <c r="A334" s="907"/>
      <c r="B334" s="802"/>
      <c r="C334" s="803"/>
      <c r="D334" s="807"/>
      <c r="E334" s="742">
        <f>IF(AND(F334="",G334="",H334="",I334="",J334=""),IF(fio="","",0),"")</f>
      </c>
      <c r="F334" s="878"/>
      <c r="G334" s="878"/>
      <c r="H334" s="878"/>
      <c r="I334" s="878"/>
      <c r="J334" s="878"/>
      <c r="K334" s="350"/>
      <c r="L334" s="38">
        <f>SUM(E334:J335)</f>
        <v>0</v>
      </c>
      <c r="M334" s="39">
        <v>150</v>
      </c>
      <c r="N334" s="40"/>
    </row>
    <row r="335" spans="1:14" ht="12.75" customHeight="1">
      <c r="A335" s="908"/>
      <c r="B335" s="804"/>
      <c r="C335" s="805"/>
      <c r="D335" s="808"/>
      <c r="E335" s="743"/>
      <c r="F335" s="879"/>
      <c r="G335" s="879"/>
      <c r="H335" s="879"/>
      <c r="I335" s="879"/>
      <c r="J335" s="879"/>
      <c r="K335" s="350"/>
      <c r="M335" s="39"/>
      <c r="N335" s="40"/>
    </row>
    <row r="336" spans="1:14" ht="84" customHeight="1">
      <c r="A336" s="17"/>
      <c r="B336" s="123"/>
      <c r="C336" s="123"/>
      <c r="D336" s="52"/>
      <c r="E336" s="61"/>
      <c r="F336" s="107"/>
      <c r="G336" s="90"/>
      <c r="H336" s="107"/>
      <c r="I336" s="107"/>
      <c r="J336" s="107"/>
      <c r="K336" s="350"/>
      <c r="M336" s="46"/>
      <c r="N336" s="46"/>
    </row>
    <row r="337" spans="1:14" ht="12.75" customHeight="1">
      <c r="A337" s="17"/>
      <c r="B337" s="853" t="s">
        <v>135</v>
      </c>
      <c r="C337" s="853"/>
      <c r="D337" s="52"/>
      <c r="E337" s="52"/>
      <c r="F337" s="52"/>
      <c r="G337" s="52"/>
      <c r="H337" s="52"/>
      <c r="I337" s="52"/>
      <c r="J337" s="52"/>
      <c r="K337" s="350"/>
      <c r="M337" s="46"/>
      <c r="N337" s="46"/>
    </row>
    <row r="338" spans="1:15" ht="14.25" customHeight="1">
      <c r="A338" s="1082" t="s">
        <v>157</v>
      </c>
      <c r="B338" s="960" t="s">
        <v>119</v>
      </c>
      <c r="C338" s="961"/>
      <c r="D338" s="1052" t="s">
        <v>137</v>
      </c>
      <c r="E338" s="1053"/>
      <c r="F338" s="969" t="s">
        <v>120</v>
      </c>
      <c r="G338" s="970"/>
      <c r="H338" s="970"/>
      <c r="I338" s="970"/>
      <c r="J338" s="971"/>
      <c r="K338" s="350"/>
      <c r="M338" s="39"/>
      <c r="N338" s="40"/>
      <c r="O338" s="3"/>
    </row>
    <row r="339" spans="1:15" ht="14.25" customHeight="1">
      <c r="A339" s="1083"/>
      <c r="B339" s="962"/>
      <c r="C339" s="963"/>
      <c r="D339" s="1054"/>
      <c r="E339" s="1055"/>
      <c r="F339" s="847" t="s">
        <v>128</v>
      </c>
      <c r="G339" s="972"/>
      <c r="H339" s="972"/>
      <c r="I339" s="972"/>
      <c r="J339" s="848"/>
      <c r="K339" s="350"/>
      <c r="M339" s="39"/>
      <c r="N339" s="40"/>
      <c r="O339" s="3"/>
    </row>
    <row r="340" spans="1:15" ht="14.25" customHeight="1">
      <c r="A340" s="1084"/>
      <c r="B340" s="964"/>
      <c r="C340" s="965"/>
      <c r="D340" s="1056"/>
      <c r="E340" s="1057"/>
      <c r="F340" s="410">
        <v>0</v>
      </c>
      <c r="G340" s="411" t="s">
        <v>426</v>
      </c>
      <c r="H340" s="411" t="s">
        <v>427</v>
      </c>
      <c r="I340" s="411" t="s">
        <v>428</v>
      </c>
      <c r="J340" s="411" t="s">
        <v>429</v>
      </c>
      <c r="K340" s="350"/>
      <c r="M340" s="39"/>
      <c r="N340" s="40"/>
      <c r="O340" s="3"/>
    </row>
    <row r="341" spans="1:15" ht="26.25" customHeight="1">
      <c r="A341" s="966" t="s">
        <v>405</v>
      </c>
      <c r="B341" s="893" t="s">
        <v>425</v>
      </c>
      <c r="C341" s="894"/>
      <c r="D341" s="843" t="s">
        <v>486</v>
      </c>
      <c r="E341" s="844"/>
      <c r="F341" s="897" t="s">
        <v>124</v>
      </c>
      <c r="G341" s="333" t="s">
        <v>8</v>
      </c>
      <c r="H341" s="231" t="s">
        <v>430</v>
      </c>
      <c r="I341" s="231" t="s">
        <v>127</v>
      </c>
      <c r="J341" s="231" t="s">
        <v>133</v>
      </c>
      <c r="K341" s="350"/>
      <c r="M341" s="39"/>
      <c r="N341" s="40"/>
      <c r="O341" s="3"/>
    </row>
    <row r="342" spans="1:15" ht="12.75" customHeight="1" hidden="1">
      <c r="A342" s="967"/>
      <c r="B342" s="895"/>
      <c r="C342" s="896"/>
      <c r="D342" s="845"/>
      <c r="E342" s="846"/>
      <c r="F342" s="898"/>
      <c r="G342" s="334"/>
      <c r="H342" s="232"/>
      <c r="I342" s="232"/>
      <c r="J342" s="232"/>
      <c r="K342" s="350"/>
      <c r="M342" s="39"/>
      <c r="N342" s="40"/>
      <c r="O342" s="3"/>
    </row>
    <row r="343" spans="1:15" ht="14.25">
      <c r="A343" s="967"/>
      <c r="B343" s="895"/>
      <c r="C343" s="896"/>
      <c r="D343" s="845"/>
      <c r="E343" s="846"/>
      <c r="F343" s="898"/>
      <c r="G343" s="900" t="s">
        <v>431</v>
      </c>
      <c r="H343" s="901"/>
      <c r="I343" s="901"/>
      <c r="J343" s="902"/>
      <c r="K343" s="350"/>
      <c r="M343" s="39"/>
      <c r="N343" s="40"/>
      <c r="O343" s="3"/>
    </row>
    <row r="344" spans="1:15" ht="24">
      <c r="A344" s="967"/>
      <c r="B344" s="895"/>
      <c r="C344" s="896"/>
      <c r="D344" s="845"/>
      <c r="E344" s="846"/>
      <c r="F344" s="898"/>
      <c r="G344" s="331" t="s">
        <v>432</v>
      </c>
      <c r="H344" s="236" t="s">
        <v>433</v>
      </c>
      <c r="I344" s="236" t="s">
        <v>434</v>
      </c>
      <c r="J344" s="236" t="s">
        <v>435</v>
      </c>
      <c r="K344" s="350"/>
      <c r="M344" s="39"/>
      <c r="N344" s="40"/>
      <c r="O344" s="3"/>
    </row>
    <row r="345" spans="1:15" ht="24">
      <c r="A345" s="967"/>
      <c r="B345" s="928" t="s">
        <v>2</v>
      </c>
      <c r="C345" s="929"/>
      <c r="D345" s="845"/>
      <c r="E345" s="846"/>
      <c r="F345" s="898"/>
      <c r="G345" s="329" t="s">
        <v>436</v>
      </c>
      <c r="H345" s="329" t="s">
        <v>437</v>
      </c>
      <c r="I345" s="329" t="s">
        <v>438</v>
      </c>
      <c r="J345" s="329" t="s">
        <v>439</v>
      </c>
      <c r="K345" s="350"/>
      <c r="M345" s="39"/>
      <c r="N345" s="40"/>
      <c r="O345" s="3"/>
    </row>
    <row r="346" spans="1:15" ht="24">
      <c r="A346" s="967"/>
      <c r="B346" s="928"/>
      <c r="C346" s="929"/>
      <c r="D346" s="845"/>
      <c r="E346" s="846"/>
      <c r="F346" s="898"/>
      <c r="G346" s="329" t="s">
        <v>440</v>
      </c>
      <c r="H346" s="329" t="s">
        <v>441</v>
      </c>
      <c r="I346" s="412" t="s">
        <v>442</v>
      </c>
      <c r="J346" s="236" t="s">
        <v>443</v>
      </c>
      <c r="K346" s="350"/>
      <c r="M346" s="39"/>
      <c r="N346" s="40"/>
      <c r="O346" s="3"/>
    </row>
    <row r="347" spans="1:15" ht="27" customHeight="1">
      <c r="A347" s="967"/>
      <c r="B347" s="928"/>
      <c r="C347" s="929"/>
      <c r="D347" s="845"/>
      <c r="E347" s="846"/>
      <c r="F347" s="898"/>
      <c r="G347" s="329" t="s">
        <v>444</v>
      </c>
      <c r="H347" s="329" t="s">
        <v>445</v>
      </c>
      <c r="I347" s="412" t="s">
        <v>446</v>
      </c>
      <c r="J347" s="236" t="s">
        <v>447</v>
      </c>
      <c r="K347" s="350"/>
      <c r="M347" s="39"/>
      <c r="N347" s="40"/>
      <c r="O347" s="3"/>
    </row>
    <row r="348" spans="1:15" ht="24">
      <c r="A348" s="967"/>
      <c r="B348" s="928"/>
      <c r="C348" s="929"/>
      <c r="D348" s="845"/>
      <c r="E348" s="846"/>
      <c r="F348" s="899"/>
      <c r="G348" s="413" t="s">
        <v>448</v>
      </c>
      <c r="H348" s="414" t="s">
        <v>449</v>
      </c>
      <c r="I348" s="415" t="s">
        <v>450</v>
      </c>
      <c r="J348" s="416" t="s">
        <v>451</v>
      </c>
      <c r="K348" s="350"/>
      <c r="M348" s="39"/>
      <c r="N348" s="40"/>
      <c r="O348" s="3"/>
    </row>
    <row r="349" spans="1:15" ht="10.5" customHeight="1">
      <c r="A349" s="967"/>
      <c r="B349" s="928"/>
      <c r="C349" s="929"/>
      <c r="D349" s="845"/>
      <c r="E349" s="846"/>
      <c r="F349" s="841">
        <f>IF(AND(G349="",H349="",I349="",J349=""),IF(fio="","",0),"")</f>
      </c>
      <c r="G349" s="835"/>
      <c r="H349" s="835"/>
      <c r="I349" s="835"/>
      <c r="J349" s="835"/>
      <c r="K349" s="350"/>
      <c r="L349" s="38">
        <f>SUM(F349:J350)</f>
        <v>0</v>
      </c>
      <c r="M349" s="39"/>
      <c r="N349" s="40">
        <v>620</v>
      </c>
      <c r="O349" s="3"/>
    </row>
    <row r="350" spans="1:15" ht="10.5" customHeight="1">
      <c r="A350" s="968"/>
      <c r="B350" s="930"/>
      <c r="C350" s="931"/>
      <c r="D350" s="847"/>
      <c r="E350" s="848"/>
      <c r="F350" s="842"/>
      <c r="G350" s="836"/>
      <c r="H350" s="836"/>
      <c r="I350" s="836"/>
      <c r="J350" s="836"/>
      <c r="K350" s="350"/>
      <c r="M350" s="39"/>
      <c r="N350" s="40"/>
      <c r="O350" s="3"/>
    </row>
    <row r="351" spans="1:14" ht="14.25" customHeight="1">
      <c r="A351" s="909" t="s">
        <v>157</v>
      </c>
      <c r="B351" s="714" t="s">
        <v>119</v>
      </c>
      <c r="C351" s="716"/>
      <c r="D351" s="831" t="s">
        <v>249</v>
      </c>
      <c r="E351" s="746" t="s">
        <v>120</v>
      </c>
      <c r="F351" s="747"/>
      <c r="G351" s="747"/>
      <c r="H351" s="747"/>
      <c r="I351" s="747"/>
      <c r="J351" s="748"/>
      <c r="K351" s="350"/>
      <c r="M351" s="39"/>
      <c r="N351" s="40"/>
    </row>
    <row r="352" spans="1:14" ht="12.75" customHeight="1">
      <c r="A352" s="910"/>
      <c r="B352" s="717"/>
      <c r="C352" s="719"/>
      <c r="D352" s="832"/>
      <c r="E352" s="797" t="s">
        <v>128</v>
      </c>
      <c r="F352" s="798"/>
      <c r="G352" s="798"/>
      <c r="H352" s="798"/>
      <c r="I352" s="798"/>
      <c r="J352" s="799"/>
      <c r="K352" s="350"/>
      <c r="M352" s="39"/>
      <c r="N352" s="40"/>
    </row>
    <row r="353" spans="1:14" ht="12.75" customHeight="1">
      <c r="A353" s="911"/>
      <c r="B353" s="720"/>
      <c r="C353" s="722"/>
      <c r="D353" s="833"/>
      <c r="E353" s="2">
        <v>0</v>
      </c>
      <c r="F353" s="12">
        <v>10</v>
      </c>
      <c r="G353" s="12">
        <v>20</v>
      </c>
      <c r="H353" s="12">
        <v>20</v>
      </c>
      <c r="I353" s="904" t="s">
        <v>250</v>
      </c>
      <c r="J353" s="905"/>
      <c r="K353" s="350"/>
      <c r="M353" s="39"/>
      <c r="N353" s="40"/>
    </row>
    <row r="354" spans="1:14" ht="92.25" customHeight="1">
      <c r="A354" s="849" t="s">
        <v>406</v>
      </c>
      <c r="B354" s="723" t="s">
        <v>3</v>
      </c>
      <c r="C354" s="880"/>
      <c r="D354" s="875" t="s">
        <v>246</v>
      </c>
      <c r="E354" s="1" t="s">
        <v>171</v>
      </c>
      <c r="F354" s="51" t="s">
        <v>396</v>
      </c>
      <c r="G354" s="51" t="s">
        <v>244</v>
      </c>
      <c r="H354" s="51" t="s">
        <v>245</v>
      </c>
      <c r="I354" s="857" t="s">
        <v>347</v>
      </c>
      <c r="J354" s="859"/>
      <c r="K354" s="350"/>
      <c r="M354" s="39"/>
      <c r="N354" s="40"/>
    </row>
    <row r="355" spans="1:14" ht="12.75" customHeight="1">
      <c r="A355" s="850"/>
      <c r="B355" s="881"/>
      <c r="C355" s="882"/>
      <c r="D355" s="876"/>
      <c r="E355" s="742">
        <f>IF(AND(F355="",G355="",H355="",I355=""),IF(fio="","",0),"")</f>
      </c>
      <c r="F355" s="792"/>
      <c r="G355" s="792"/>
      <c r="H355" s="792"/>
      <c r="I355" s="821"/>
      <c r="J355" s="822"/>
      <c r="K355" s="350"/>
      <c r="M355" s="39"/>
      <c r="N355" s="40"/>
    </row>
    <row r="356" spans="1:14" ht="12.75" customHeight="1">
      <c r="A356" s="851"/>
      <c r="B356" s="883"/>
      <c r="C356" s="884"/>
      <c r="D356" s="877"/>
      <c r="E356" s="743"/>
      <c r="F356" s="852"/>
      <c r="G356" s="852"/>
      <c r="H356" s="852"/>
      <c r="I356" s="823"/>
      <c r="J356" s="824"/>
      <c r="K356" s="350"/>
      <c r="L356" s="38">
        <f>SUM(E355:J356)</f>
        <v>0</v>
      </c>
      <c r="M356" s="39"/>
      <c r="N356" s="40">
        <f>SUM(E353:I353)</f>
        <v>50</v>
      </c>
    </row>
    <row r="357" spans="1:14" ht="14.25" customHeight="1">
      <c r="A357" s="909" t="s">
        <v>157</v>
      </c>
      <c r="B357" s="714" t="s">
        <v>119</v>
      </c>
      <c r="C357" s="716"/>
      <c r="D357" s="831" t="s">
        <v>249</v>
      </c>
      <c r="E357" s="925" t="s">
        <v>120</v>
      </c>
      <c r="F357" s="926"/>
      <c r="G357" s="926"/>
      <c r="H357" s="926"/>
      <c r="I357" s="926"/>
      <c r="J357" s="927"/>
      <c r="K357" s="350"/>
      <c r="M357" s="39"/>
      <c r="N357" s="40"/>
    </row>
    <row r="358" spans="1:17" ht="12.75" customHeight="1">
      <c r="A358" s="910"/>
      <c r="B358" s="717"/>
      <c r="C358" s="719"/>
      <c r="D358" s="832"/>
      <c r="E358" s="797" t="s">
        <v>129</v>
      </c>
      <c r="F358" s="798"/>
      <c r="G358" s="798"/>
      <c r="H358" s="798"/>
      <c r="I358" s="798"/>
      <c r="J358" s="799"/>
      <c r="K358" s="350"/>
      <c r="M358" s="39"/>
      <c r="N358" s="40"/>
      <c r="Q358" s="62"/>
    </row>
    <row r="359" spans="1:17" ht="12.75" customHeight="1">
      <c r="A359" s="911"/>
      <c r="B359" s="720"/>
      <c r="C359" s="722"/>
      <c r="D359" s="833"/>
      <c r="E359" s="2">
        <v>0</v>
      </c>
      <c r="F359" s="813" t="s">
        <v>264</v>
      </c>
      <c r="G359" s="814"/>
      <c r="H359" s="813" t="s">
        <v>265</v>
      </c>
      <c r="I359" s="903"/>
      <c r="J359" s="814"/>
      <c r="K359" s="350"/>
      <c r="M359" s="39"/>
      <c r="N359" s="40"/>
      <c r="Q359" s="50"/>
    </row>
    <row r="360" spans="1:14" ht="79.5" customHeight="1">
      <c r="A360" s="849" t="s">
        <v>407</v>
      </c>
      <c r="B360" s="723" t="s">
        <v>4</v>
      </c>
      <c r="C360" s="880"/>
      <c r="D360" s="806" t="s">
        <v>487</v>
      </c>
      <c r="E360" s="14" t="s">
        <v>247</v>
      </c>
      <c r="F360" s="1002" t="s">
        <v>287</v>
      </c>
      <c r="G360" s="1003"/>
      <c r="H360" s="857" t="s">
        <v>263</v>
      </c>
      <c r="I360" s="858"/>
      <c r="J360" s="859"/>
      <c r="K360" s="350"/>
      <c r="M360" s="39"/>
      <c r="N360" s="40"/>
    </row>
    <row r="361" spans="1:14" ht="12.75" customHeight="1">
      <c r="A361" s="850"/>
      <c r="B361" s="881"/>
      <c r="C361" s="882"/>
      <c r="D361" s="807"/>
      <c r="E361" s="742">
        <f>IF(AND(F361="",H361=""),IF(fio="","",0),"")</f>
      </c>
      <c r="F361" s="821"/>
      <c r="G361" s="861"/>
      <c r="H361" s="821"/>
      <c r="I361" s="860"/>
      <c r="J361" s="861"/>
      <c r="K361" s="350"/>
      <c r="M361" s="39"/>
      <c r="N361" s="40"/>
    </row>
    <row r="362" spans="1:14" ht="12.75" customHeight="1">
      <c r="A362" s="851"/>
      <c r="B362" s="883"/>
      <c r="C362" s="884"/>
      <c r="D362" s="808"/>
      <c r="E362" s="743"/>
      <c r="F362" s="862"/>
      <c r="G362" s="864"/>
      <c r="H362" s="862"/>
      <c r="I362" s="863"/>
      <c r="J362" s="864"/>
      <c r="K362" s="350"/>
      <c r="L362" s="38">
        <f>MAX(E361:J362)</f>
        <v>0</v>
      </c>
      <c r="M362" s="39"/>
      <c r="N362" s="40">
        <v>500</v>
      </c>
    </row>
    <row r="363" spans="1:14" ht="1.5" customHeight="1">
      <c r="A363" s="17"/>
      <c r="B363" s="124"/>
      <c r="C363" s="124"/>
      <c r="D363" s="52"/>
      <c r="E363" s="61"/>
      <c r="F363" s="107"/>
      <c r="G363" s="107"/>
      <c r="H363" s="107"/>
      <c r="I363" s="107"/>
      <c r="J363" s="52"/>
      <c r="K363" s="350"/>
      <c r="M363" s="46"/>
      <c r="N363" s="46"/>
    </row>
    <row r="364" spans="1:18" ht="14.25" customHeight="1">
      <c r="A364" s="992" t="s">
        <v>5</v>
      </c>
      <c r="B364" s="1060" t="s">
        <v>131</v>
      </c>
      <c r="C364" s="1060"/>
      <c r="D364" s="1060"/>
      <c r="E364" s="1060"/>
      <c r="F364" s="1060"/>
      <c r="G364" s="1060"/>
      <c r="H364" s="1060"/>
      <c r="I364" s="1060"/>
      <c r="J364" s="52"/>
      <c r="K364" s="350"/>
      <c r="M364" s="392"/>
      <c r="N364" s="373"/>
      <c r="O364" s="3"/>
      <c r="R364" s="401"/>
    </row>
    <row r="365" spans="1:18" ht="14.25">
      <c r="A365" s="992"/>
      <c r="B365" s="1061"/>
      <c r="C365" s="1061"/>
      <c r="D365" s="1061"/>
      <c r="E365" s="1061"/>
      <c r="F365" s="1061"/>
      <c r="G365" s="1061"/>
      <c r="H365" s="1061"/>
      <c r="I365" s="1061"/>
      <c r="J365" s="52"/>
      <c r="K365" s="350"/>
      <c r="M365" s="392"/>
      <c r="N365" s="373"/>
      <c r="O365" s="3"/>
      <c r="R365" s="401"/>
    </row>
    <row r="366" spans="1:19" ht="12.75" customHeight="1">
      <c r="A366" s="909" t="s">
        <v>157</v>
      </c>
      <c r="B366" s="714" t="s">
        <v>119</v>
      </c>
      <c r="C366" s="715"/>
      <c r="D366" s="716"/>
      <c r="E366" s="925" t="s">
        <v>120</v>
      </c>
      <c r="F366" s="926"/>
      <c r="G366" s="926"/>
      <c r="H366" s="926"/>
      <c r="I366" s="926"/>
      <c r="J366" s="927"/>
      <c r="K366" s="350"/>
      <c r="M366" s="391"/>
      <c r="N366" s="392"/>
      <c r="O366" s="373"/>
      <c r="S366" s="401"/>
    </row>
    <row r="367" spans="1:19" ht="14.25" customHeight="1">
      <c r="A367" s="910"/>
      <c r="B367" s="717"/>
      <c r="C367" s="718"/>
      <c r="D367" s="719"/>
      <c r="E367" s="994" t="s">
        <v>128</v>
      </c>
      <c r="F367" s="995"/>
      <c r="G367" s="995"/>
      <c r="H367" s="995"/>
      <c r="I367" s="995"/>
      <c r="J367" s="996"/>
      <c r="K367" s="350"/>
      <c r="L367" s="387"/>
      <c r="M367" s="391"/>
      <c r="N367" s="392"/>
      <c r="O367" s="373"/>
      <c r="S367" s="401"/>
    </row>
    <row r="368" spans="1:19" ht="14.25" customHeight="1">
      <c r="A368" s="911"/>
      <c r="B368" s="720"/>
      <c r="C368" s="721"/>
      <c r="D368" s="722"/>
      <c r="E368" s="19">
        <v>0</v>
      </c>
      <c r="F368" s="19">
        <v>50</v>
      </c>
      <c r="G368" s="19">
        <v>100</v>
      </c>
      <c r="H368" s="19">
        <v>200</v>
      </c>
      <c r="I368" s="19">
        <v>300</v>
      </c>
      <c r="J368" s="19">
        <v>150</v>
      </c>
      <c r="K368" s="350"/>
      <c r="L368" s="387"/>
      <c r="M368" s="391"/>
      <c r="N368" s="392"/>
      <c r="O368" s="373"/>
      <c r="S368" s="401"/>
    </row>
    <row r="369" spans="1:19" ht="51.75" customHeight="1">
      <c r="A369" s="849" t="s">
        <v>6</v>
      </c>
      <c r="B369" s="723" t="s">
        <v>7</v>
      </c>
      <c r="C369" s="724"/>
      <c r="D369" s="725"/>
      <c r="E369" s="711" t="s">
        <v>132</v>
      </c>
      <c r="F369" s="711" t="s">
        <v>8</v>
      </c>
      <c r="G369" s="711" t="s">
        <v>9</v>
      </c>
      <c r="H369" s="711" t="s">
        <v>127</v>
      </c>
      <c r="I369" s="711" t="s">
        <v>133</v>
      </c>
      <c r="J369" s="711" t="s">
        <v>10</v>
      </c>
      <c r="K369" s="350"/>
      <c r="L369" s="387"/>
      <c r="M369" s="391"/>
      <c r="N369" s="392"/>
      <c r="O369" s="373"/>
      <c r="S369" s="401"/>
    </row>
    <row r="370" spans="1:19" ht="8.25" customHeight="1">
      <c r="A370" s="850"/>
      <c r="B370" s="726"/>
      <c r="C370" s="727"/>
      <c r="D370" s="728"/>
      <c r="E370" s="712"/>
      <c r="F370" s="712"/>
      <c r="G370" s="712"/>
      <c r="H370" s="712"/>
      <c r="I370" s="712"/>
      <c r="J370" s="712"/>
      <c r="K370" s="350"/>
      <c r="L370" s="387"/>
      <c r="M370" s="391"/>
      <c r="N370" s="392"/>
      <c r="O370" s="373"/>
      <c r="S370" s="401"/>
    </row>
    <row r="371" spans="1:19" ht="17.25" customHeight="1">
      <c r="A371" s="850"/>
      <c r="B371" s="810" t="s">
        <v>408</v>
      </c>
      <c r="C371" s="811"/>
      <c r="D371" s="812"/>
      <c r="E371" s="712"/>
      <c r="F371" s="712"/>
      <c r="G371" s="712"/>
      <c r="H371" s="712"/>
      <c r="I371" s="712"/>
      <c r="J371" s="712"/>
      <c r="K371" s="350"/>
      <c r="L371" s="387"/>
      <c r="M371" s="391"/>
      <c r="N371" s="392"/>
      <c r="O371" s="373"/>
      <c r="S371" s="401"/>
    </row>
    <row r="372" spans="1:19" ht="13.5" customHeight="1">
      <c r="A372" s="850"/>
      <c r="B372" s="825" t="s">
        <v>11</v>
      </c>
      <c r="C372" s="826"/>
      <c r="D372" s="827"/>
      <c r="E372" s="712"/>
      <c r="F372" s="712"/>
      <c r="G372" s="712"/>
      <c r="H372" s="712"/>
      <c r="I372" s="712"/>
      <c r="J372" s="712"/>
      <c r="K372" s="350"/>
      <c r="L372" s="387"/>
      <c r="M372" s="391"/>
      <c r="N372" s="392"/>
      <c r="O372" s="373"/>
      <c r="S372" s="401"/>
    </row>
    <row r="373" spans="1:19" ht="6" customHeight="1">
      <c r="A373" s="850"/>
      <c r="B373" s="810" t="s">
        <v>488</v>
      </c>
      <c r="C373" s="811"/>
      <c r="D373" s="812"/>
      <c r="E373" s="713"/>
      <c r="F373" s="713"/>
      <c r="G373" s="713"/>
      <c r="H373" s="713"/>
      <c r="I373" s="713"/>
      <c r="J373" s="713"/>
      <c r="K373" s="350"/>
      <c r="L373" s="387"/>
      <c r="M373" s="391"/>
      <c r="N373" s="392"/>
      <c r="O373" s="373"/>
      <c r="S373" s="401"/>
    </row>
    <row r="374" spans="1:19" ht="14.25" customHeight="1">
      <c r="A374" s="850"/>
      <c r="B374" s="810"/>
      <c r="C374" s="811"/>
      <c r="D374" s="812"/>
      <c r="E374" s="742">
        <f>IF(AND(F374="",G374="",H374="",I374="",J374=""),IF(fio="","",0),"")</f>
      </c>
      <c r="F374" s="740"/>
      <c r="G374" s="740"/>
      <c r="H374" s="740"/>
      <c r="I374" s="740"/>
      <c r="J374" s="740"/>
      <c r="K374" s="350"/>
      <c r="L374" s="387">
        <f>SUM(E374:J375)</f>
        <v>0</v>
      </c>
      <c r="M374" s="391">
        <v>800</v>
      </c>
      <c r="N374" s="392"/>
      <c r="O374" s="373"/>
      <c r="S374" s="401"/>
    </row>
    <row r="375" spans="1:19" ht="12.75" customHeight="1">
      <c r="A375" s="851"/>
      <c r="B375" s="854"/>
      <c r="C375" s="855"/>
      <c r="D375" s="856"/>
      <c r="E375" s="743"/>
      <c r="F375" s="741"/>
      <c r="G375" s="741"/>
      <c r="H375" s="741"/>
      <c r="I375" s="741"/>
      <c r="J375" s="741"/>
      <c r="K375" s="350"/>
      <c r="L375" s="387"/>
      <c r="M375" s="402"/>
      <c r="N375" s="403"/>
      <c r="O375" s="373"/>
      <c r="S375" s="401"/>
    </row>
    <row r="376" spans="1:14" ht="30" customHeight="1">
      <c r="A376" s="17"/>
      <c r="B376" s="123"/>
      <c r="C376" s="123"/>
      <c r="D376" s="52"/>
      <c r="E376" s="61"/>
      <c r="F376" s="107"/>
      <c r="G376" s="90"/>
      <c r="H376" s="107"/>
      <c r="I376" s="107"/>
      <c r="J376" s="107"/>
      <c r="K376" s="350"/>
      <c r="M376" s="46"/>
      <c r="N376" s="46"/>
    </row>
    <row r="377" spans="1:14" ht="14.25">
      <c r="A377" s="17"/>
      <c r="B377" s="853" t="s">
        <v>135</v>
      </c>
      <c r="C377" s="853"/>
      <c r="D377" s="52"/>
      <c r="E377" s="52"/>
      <c r="F377" s="52"/>
      <c r="G377" s="52"/>
      <c r="H377" s="52"/>
      <c r="I377" s="52"/>
      <c r="J377" s="52"/>
      <c r="K377" s="350"/>
      <c r="M377" s="46"/>
      <c r="N377" s="46"/>
    </row>
    <row r="378" spans="1:18" ht="6.75" customHeight="1">
      <c r="A378" s="992" t="s">
        <v>12</v>
      </c>
      <c r="B378" s="1000" t="s">
        <v>134</v>
      </c>
      <c r="C378" s="1000"/>
      <c r="D378" s="1000"/>
      <c r="E378" s="1000"/>
      <c r="F378" s="1000"/>
      <c r="G378" s="1000"/>
      <c r="H378" s="1000"/>
      <c r="I378" s="1000"/>
      <c r="J378" s="1000"/>
      <c r="K378" s="350"/>
      <c r="L378" s="387"/>
      <c r="M378" s="404"/>
      <c r="N378" s="373"/>
      <c r="O378" s="3"/>
      <c r="R378" s="401"/>
    </row>
    <row r="379" spans="1:18" ht="12.75" customHeight="1">
      <c r="A379" s="993"/>
      <c r="B379" s="1001"/>
      <c r="C379" s="1001"/>
      <c r="D379" s="1001"/>
      <c r="E379" s="1001"/>
      <c r="F379" s="1001"/>
      <c r="G379" s="1001"/>
      <c r="H379" s="1001"/>
      <c r="I379" s="1001"/>
      <c r="J379" s="1001"/>
      <c r="K379" s="350"/>
      <c r="L379" s="387"/>
      <c r="M379" s="388"/>
      <c r="N379" s="373"/>
      <c r="O379" s="3"/>
      <c r="R379" s="401"/>
    </row>
    <row r="380" spans="1:18" ht="14.25" customHeight="1">
      <c r="A380" s="909" t="s">
        <v>157</v>
      </c>
      <c r="B380" s="714" t="s">
        <v>119</v>
      </c>
      <c r="C380" s="715"/>
      <c r="D380" s="715"/>
      <c r="E380" s="716"/>
      <c r="F380" s="925" t="s">
        <v>120</v>
      </c>
      <c r="G380" s="926"/>
      <c r="H380" s="926"/>
      <c r="I380" s="926"/>
      <c r="J380" s="927"/>
      <c r="K380" s="350"/>
      <c r="L380" s="3"/>
      <c r="M380" s="3"/>
      <c r="N380" s="3"/>
      <c r="O380" s="3"/>
      <c r="R380" s="401"/>
    </row>
    <row r="381" spans="1:18" ht="12.75" customHeight="1">
      <c r="A381" s="910"/>
      <c r="B381" s="717"/>
      <c r="C381" s="718"/>
      <c r="D381" s="718"/>
      <c r="E381" s="719"/>
      <c r="F381" s="994" t="s">
        <v>129</v>
      </c>
      <c r="G381" s="995"/>
      <c r="H381" s="995"/>
      <c r="I381" s="995"/>
      <c r="J381" s="996"/>
      <c r="K381" s="350"/>
      <c r="L381" s="3"/>
      <c r="M381" s="3"/>
      <c r="N381" s="3"/>
      <c r="O381" s="3"/>
      <c r="R381" s="401"/>
    </row>
    <row r="382" spans="1:19" ht="12.75" customHeight="1">
      <c r="A382" s="911"/>
      <c r="B382" s="720"/>
      <c r="C382" s="721"/>
      <c r="D382" s="721"/>
      <c r="E382" s="722"/>
      <c r="F382" s="2">
        <v>0</v>
      </c>
      <c r="G382" s="2">
        <v>100</v>
      </c>
      <c r="H382" s="2">
        <v>200</v>
      </c>
      <c r="I382" s="813">
        <v>300</v>
      </c>
      <c r="J382" s="814"/>
      <c r="K382" s="350"/>
      <c r="L382" s="387"/>
      <c r="M382" s="388"/>
      <c r="N382" s="388"/>
      <c r="O382" s="373"/>
      <c r="S382" s="401"/>
    </row>
    <row r="383" spans="1:19" ht="15" customHeight="1">
      <c r="A383" s="986" t="s">
        <v>13</v>
      </c>
      <c r="B383" s="723" t="s">
        <v>546</v>
      </c>
      <c r="C383" s="724"/>
      <c r="D383" s="724"/>
      <c r="E383" s="725"/>
      <c r="F383" s="711" t="s">
        <v>140</v>
      </c>
      <c r="G383" s="711" t="s">
        <v>306</v>
      </c>
      <c r="H383" s="711" t="s">
        <v>305</v>
      </c>
      <c r="I383" s="783" t="s">
        <v>266</v>
      </c>
      <c r="J383" s="784"/>
      <c r="K383" s="350"/>
      <c r="L383" s="387"/>
      <c r="M383" s="388"/>
      <c r="N383" s="388"/>
      <c r="O383" s="373"/>
      <c r="S383" s="401"/>
    </row>
    <row r="384" spans="1:19" ht="12.75" customHeight="1">
      <c r="A384" s="987"/>
      <c r="B384" s="997" t="s">
        <v>14</v>
      </c>
      <c r="C384" s="998"/>
      <c r="D384" s="998"/>
      <c r="E384" s="999"/>
      <c r="F384" s="712"/>
      <c r="G384" s="712"/>
      <c r="H384" s="712"/>
      <c r="I384" s="933" t="s">
        <v>543</v>
      </c>
      <c r="J384" s="989"/>
      <c r="K384" s="350"/>
      <c r="L384" s="387"/>
      <c r="M384" s="388"/>
      <c r="N384" s="388"/>
      <c r="O384" s="373"/>
      <c r="S384" s="401"/>
    </row>
    <row r="385" spans="1:19" ht="12.75" customHeight="1">
      <c r="A385" s="987"/>
      <c r="B385" s="997"/>
      <c r="C385" s="998"/>
      <c r="D385" s="998"/>
      <c r="E385" s="999"/>
      <c r="F385" s="712"/>
      <c r="G385" s="712"/>
      <c r="H385" s="712"/>
      <c r="I385" s="933"/>
      <c r="J385" s="989"/>
      <c r="K385" s="350"/>
      <c r="L385" s="387"/>
      <c r="M385" s="388"/>
      <c r="N385" s="388"/>
      <c r="O385" s="373"/>
      <c r="S385" s="401"/>
    </row>
    <row r="386" spans="1:19" ht="15" customHeight="1">
      <c r="A386" s="987"/>
      <c r="B386" s="997"/>
      <c r="C386" s="998"/>
      <c r="D386" s="998"/>
      <c r="E386" s="999"/>
      <c r="F386" s="712"/>
      <c r="G386" s="712"/>
      <c r="H386" s="712"/>
      <c r="I386" s="933"/>
      <c r="J386" s="989"/>
      <c r="K386" s="350"/>
      <c r="L386" s="387"/>
      <c r="M386" s="388"/>
      <c r="N386" s="388"/>
      <c r="O386" s="373"/>
      <c r="S386" s="401"/>
    </row>
    <row r="387" spans="1:19" ht="12.75" customHeight="1">
      <c r="A387" s="987"/>
      <c r="B387" s="810" t="s">
        <v>15</v>
      </c>
      <c r="C387" s="811"/>
      <c r="D387" s="811"/>
      <c r="E387" s="812"/>
      <c r="F387" s="712"/>
      <c r="G387" s="712"/>
      <c r="H387" s="712"/>
      <c r="I387" s="933"/>
      <c r="J387" s="989"/>
      <c r="K387" s="350"/>
      <c r="L387" s="387"/>
      <c r="M387" s="388"/>
      <c r="N387" s="388"/>
      <c r="O387" s="373"/>
      <c r="S387" s="401"/>
    </row>
    <row r="388" spans="1:19" ht="15" customHeight="1">
      <c r="A388" s="987"/>
      <c r="B388" s="825" t="s">
        <v>16</v>
      </c>
      <c r="C388" s="826"/>
      <c r="D388" s="826"/>
      <c r="E388" s="827"/>
      <c r="F388" s="712"/>
      <c r="G388" s="712"/>
      <c r="H388" s="712"/>
      <c r="I388" s="933"/>
      <c r="J388" s="989"/>
      <c r="K388" s="350"/>
      <c r="L388" s="387"/>
      <c r="M388" s="388"/>
      <c r="N388" s="388"/>
      <c r="O388" s="373"/>
      <c r="S388" s="401"/>
    </row>
    <row r="389" spans="1:19" ht="17.25" customHeight="1">
      <c r="A389" s="987"/>
      <c r="B389" s="810" t="s">
        <v>17</v>
      </c>
      <c r="C389" s="811"/>
      <c r="D389" s="811"/>
      <c r="E389" s="812"/>
      <c r="F389" s="713"/>
      <c r="G389" s="713"/>
      <c r="H389" s="713"/>
      <c r="I389" s="990"/>
      <c r="J389" s="991"/>
      <c r="K389" s="350"/>
      <c r="L389" s="387"/>
      <c r="M389" s="388"/>
      <c r="N389" s="388"/>
      <c r="O389" s="373"/>
      <c r="S389" s="401"/>
    </row>
    <row r="390" spans="1:19" ht="12" customHeight="1">
      <c r="A390" s="987"/>
      <c r="B390" s="810"/>
      <c r="C390" s="811"/>
      <c r="D390" s="811"/>
      <c r="E390" s="812"/>
      <c r="F390" s="745">
        <f>IF(AND(G390="",H390="",I390=""),IF(fio="","",0),"")</f>
      </c>
      <c r="G390" s="765"/>
      <c r="H390" s="765"/>
      <c r="I390" s="837"/>
      <c r="J390" s="838"/>
      <c r="K390" s="350"/>
      <c r="L390" s="387">
        <f>MAX(F390:J391)</f>
        <v>0</v>
      </c>
      <c r="M390" s="389">
        <v>300</v>
      </c>
      <c r="N390" s="390"/>
      <c r="O390" s="373"/>
      <c r="S390" s="401"/>
    </row>
    <row r="391" spans="1:19" ht="12" customHeight="1">
      <c r="A391" s="988"/>
      <c r="B391" s="854"/>
      <c r="C391" s="855"/>
      <c r="D391" s="855"/>
      <c r="E391" s="856"/>
      <c r="F391" s="743"/>
      <c r="G391" s="766"/>
      <c r="H391" s="766"/>
      <c r="I391" s="839"/>
      <c r="J391" s="840"/>
      <c r="K391" s="350"/>
      <c r="L391" s="387"/>
      <c r="M391" s="391"/>
      <c r="N391" s="392"/>
      <c r="O391" s="405"/>
      <c r="S391" s="401"/>
    </row>
    <row r="392" spans="1:19" s="379" customFormat="1" ht="15" customHeight="1">
      <c r="A392" s="849" t="s">
        <v>18</v>
      </c>
      <c r="B392" s="815" t="s">
        <v>475</v>
      </c>
      <c r="C392" s="816"/>
      <c r="D392" s="816"/>
      <c r="E392" s="817"/>
      <c r="F392" s="789" t="s">
        <v>169</v>
      </c>
      <c r="G392" s="789" t="s">
        <v>544</v>
      </c>
      <c r="H392" s="789" t="s">
        <v>545</v>
      </c>
      <c r="I392" s="783" t="s">
        <v>472</v>
      </c>
      <c r="J392" s="784"/>
      <c r="K392" s="350"/>
      <c r="L392" s="387"/>
      <c r="M392" s="391"/>
      <c r="N392" s="392"/>
      <c r="O392" s="373"/>
      <c r="S392" s="406"/>
    </row>
    <row r="393" spans="1:19" s="379" customFormat="1" ht="15" customHeight="1">
      <c r="A393" s="850"/>
      <c r="B393" s="818"/>
      <c r="C393" s="819"/>
      <c r="D393" s="819"/>
      <c r="E393" s="820"/>
      <c r="F393" s="790"/>
      <c r="G393" s="790"/>
      <c r="H393" s="790"/>
      <c r="I393" s="785"/>
      <c r="J393" s="786"/>
      <c r="K393" s="350"/>
      <c r="L393" s="387"/>
      <c r="M393" s="391"/>
      <c r="N393" s="392"/>
      <c r="O393" s="373"/>
      <c r="S393" s="406"/>
    </row>
    <row r="394" spans="1:19" s="379" customFormat="1" ht="15" customHeight="1">
      <c r="A394" s="850"/>
      <c r="B394" s="818"/>
      <c r="C394" s="819"/>
      <c r="D394" s="819"/>
      <c r="E394" s="820"/>
      <c r="F394" s="790"/>
      <c r="G394" s="790"/>
      <c r="H394" s="790"/>
      <c r="I394" s="785"/>
      <c r="J394" s="786"/>
      <c r="K394" s="350"/>
      <c r="L394" s="387"/>
      <c r="M394" s="391"/>
      <c r="N394" s="392"/>
      <c r="O394" s="373"/>
      <c r="S394" s="406"/>
    </row>
    <row r="395" spans="1:19" s="379" customFormat="1" ht="1.5" customHeight="1">
      <c r="A395" s="850"/>
      <c r="B395" s="818"/>
      <c r="C395" s="819"/>
      <c r="D395" s="819"/>
      <c r="E395" s="820"/>
      <c r="F395" s="790"/>
      <c r="G395" s="790"/>
      <c r="H395" s="790"/>
      <c r="I395" s="785"/>
      <c r="J395" s="786"/>
      <c r="K395" s="350"/>
      <c r="L395" s="387"/>
      <c r="M395" s="391"/>
      <c r="N395" s="392"/>
      <c r="O395" s="373"/>
      <c r="S395" s="406"/>
    </row>
    <row r="396" spans="1:19" s="379" customFormat="1" ht="1.5" customHeight="1">
      <c r="A396" s="850"/>
      <c r="B396" s="818"/>
      <c r="C396" s="819"/>
      <c r="D396" s="819"/>
      <c r="E396" s="820"/>
      <c r="F396" s="790"/>
      <c r="G396" s="790"/>
      <c r="H396" s="790"/>
      <c r="I396" s="785"/>
      <c r="J396" s="786"/>
      <c r="K396" s="350"/>
      <c r="L396" s="387"/>
      <c r="M396" s="391"/>
      <c r="N396" s="392"/>
      <c r="O396" s="373"/>
      <c r="S396" s="406"/>
    </row>
    <row r="397" spans="1:19" s="379" customFormat="1" ht="12.75" customHeight="1">
      <c r="A397" s="850"/>
      <c r="B397" s="1075" t="s">
        <v>15</v>
      </c>
      <c r="C397" s="1076"/>
      <c r="D397" s="1076"/>
      <c r="E397" s="1077"/>
      <c r="F397" s="790"/>
      <c r="G397" s="790"/>
      <c r="H397" s="790"/>
      <c r="I397" s="785"/>
      <c r="J397" s="786"/>
      <c r="K397" s="350"/>
      <c r="L397" s="387"/>
      <c r="M397" s="391"/>
      <c r="N397" s="392"/>
      <c r="O397" s="373"/>
      <c r="S397" s="406"/>
    </row>
    <row r="398" spans="1:19" s="379" customFormat="1" ht="12.75" customHeight="1">
      <c r="A398" s="850"/>
      <c r="B398" s="1072" t="s">
        <v>16</v>
      </c>
      <c r="C398" s="1073"/>
      <c r="D398" s="1073"/>
      <c r="E398" s="1074"/>
      <c r="F398" s="790"/>
      <c r="G398" s="790"/>
      <c r="H398" s="790"/>
      <c r="I398" s="785"/>
      <c r="J398" s="786"/>
      <c r="K398" s="350"/>
      <c r="L398" s="387"/>
      <c r="M398" s="391"/>
      <c r="N398" s="392"/>
      <c r="O398" s="373"/>
      <c r="S398" s="406"/>
    </row>
    <row r="399" spans="1:19" s="379" customFormat="1" ht="4.5" customHeight="1">
      <c r="A399" s="850"/>
      <c r="B399" s="1075" t="s">
        <v>482</v>
      </c>
      <c r="C399" s="1076"/>
      <c r="D399" s="1076"/>
      <c r="E399" s="1077"/>
      <c r="F399" s="790"/>
      <c r="G399" s="790"/>
      <c r="H399" s="790"/>
      <c r="I399" s="785"/>
      <c r="J399" s="786"/>
      <c r="K399" s="350"/>
      <c r="L399" s="387"/>
      <c r="M399" s="391"/>
      <c r="N399" s="392"/>
      <c r="O399" s="373"/>
      <c r="S399" s="406"/>
    </row>
    <row r="400" spans="1:19" s="379" customFormat="1" ht="8.25" customHeight="1">
      <c r="A400" s="850"/>
      <c r="B400" s="1075"/>
      <c r="C400" s="1076"/>
      <c r="D400" s="1076"/>
      <c r="E400" s="1077"/>
      <c r="F400" s="791"/>
      <c r="G400" s="791"/>
      <c r="H400" s="791"/>
      <c r="I400" s="787"/>
      <c r="J400" s="788"/>
      <c r="K400" s="350"/>
      <c r="L400" s="387"/>
      <c r="M400" s="391"/>
      <c r="N400" s="392"/>
      <c r="O400" s="373"/>
      <c r="S400" s="406"/>
    </row>
    <row r="401" spans="1:31" ht="14.25" customHeight="1">
      <c r="A401" s="850"/>
      <c r="B401" s="1075"/>
      <c r="C401" s="1076"/>
      <c r="D401" s="1076"/>
      <c r="E401" s="1077"/>
      <c r="F401" s="742">
        <f>IF(AND(G401="",H401="",I401=""),IF(fio="","",0),"")</f>
      </c>
      <c r="G401" s="792"/>
      <c r="H401" s="792"/>
      <c r="I401" s="821"/>
      <c r="J401" s="822"/>
      <c r="K401" s="350"/>
      <c r="L401" s="387">
        <f>MAX(F401:J402)</f>
        <v>0</v>
      </c>
      <c r="M401" s="391"/>
      <c r="N401" s="392">
        <v>300</v>
      </c>
      <c r="O401" s="373"/>
      <c r="S401" s="40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</row>
    <row r="402" spans="1:31" ht="12.75" customHeight="1">
      <c r="A402" s="851"/>
      <c r="B402" s="1078"/>
      <c r="C402" s="1079"/>
      <c r="D402" s="1079"/>
      <c r="E402" s="1080"/>
      <c r="F402" s="743"/>
      <c r="G402" s="793"/>
      <c r="H402" s="793"/>
      <c r="I402" s="823"/>
      <c r="J402" s="824"/>
      <c r="K402" s="350"/>
      <c r="L402" s="387"/>
      <c r="M402" s="391"/>
      <c r="N402" s="392"/>
      <c r="O402" s="373"/>
      <c r="S402" s="40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</row>
    <row r="403" spans="1:31" ht="15" customHeight="1">
      <c r="A403" s="849" t="s">
        <v>19</v>
      </c>
      <c r="B403" s="723" t="s">
        <v>20</v>
      </c>
      <c r="C403" s="724"/>
      <c r="D403" s="724"/>
      <c r="E403" s="725"/>
      <c r="F403" s="711" t="s">
        <v>170</v>
      </c>
      <c r="G403" s="711" t="s">
        <v>464</v>
      </c>
      <c r="H403" s="711" t="s">
        <v>21</v>
      </c>
      <c r="I403" s="783" t="s">
        <v>483</v>
      </c>
      <c r="J403" s="784"/>
      <c r="K403" s="350"/>
      <c r="L403" s="387"/>
      <c r="M403" s="391"/>
      <c r="N403" s="392"/>
      <c r="O403" s="373"/>
      <c r="S403" s="401"/>
      <c r="T403" s="420"/>
      <c r="U403" s="420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</row>
    <row r="404" spans="1:31" ht="15">
      <c r="A404" s="850"/>
      <c r="B404" s="341"/>
      <c r="C404" s="53"/>
      <c r="D404" s="53"/>
      <c r="E404" s="53"/>
      <c r="F404" s="712"/>
      <c r="G404" s="712"/>
      <c r="H404" s="712"/>
      <c r="I404" s="785"/>
      <c r="J404" s="786"/>
      <c r="K404" s="350"/>
      <c r="L404" s="387"/>
      <c r="M404" s="391"/>
      <c r="N404" s="392"/>
      <c r="O404" s="373"/>
      <c r="S404" s="401"/>
      <c r="T404" s="420"/>
      <c r="U404" s="420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12.75" customHeight="1">
      <c r="A405" s="850"/>
      <c r="B405" s="810" t="s">
        <v>15</v>
      </c>
      <c r="C405" s="811"/>
      <c r="D405" s="811"/>
      <c r="E405" s="812"/>
      <c r="F405" s="712"/>
      <c r="G405" s="712"/>
      <c r="H405" s="712"/>
      <c r="I405" s="785"/>
      <c r="J405" s="786"/>
      <c r="K405" s="350"/>
      <c r="L405" s="387"/>
      <c r="M405" s="391"/>
      <c r="N405" s="392"/>
      <c r="O405" s="373"/>
      <c r="S405" s="401"/>
      <c r="T405" s="420"/>
      <c r="U405" s="420"/>
      <c r="V405" s="420"/>
      <c r="W405" s="420"/>
      <c r="X405" s="420"/>
      <c r="Y405" s="420"/>
      <c r="Z405" s="420"/>
      <c r="AA405" s="420"/>
      <c r="AB405" s="420"/>
      <c r="AC405" s="420"/>
      <c r="AD405" s="21"/>
      <c r="AE405" s="21"/>
    </row>
    <row r="406" spans="1:31" ht="13.5" customHeight="1">
      <c r="A406" s="850"/>
      <c r="B406" s="825" t="s">
        <v>16</v>
      </c>
      <c r="C406" s="826"/>
      <c r="D406" s="826"/>
      <c r="E406" s="827"/>
      <c r="F406" s="713"/>
      <c r="G406" s="713"/>
      <c r="H406" s="713"/>
      <c r="I406" s="787"/>
      <c r="J406" s="788"/>
      <c r="K406" s="350"/>
      <c r="L406" s="387"/>
      <c r="M406" s="391"/>
      <c r="N406" s="392"/>
      <c r="O406" s="373"/>
      <c r="S406" s="401"/>
      <c r="T406" s="420"/>
      <c r="U406" s="420"/>
      <c r="V406" s="420"/>
      <c r="W406" s="420"/>
      <c r="X406" s="420"/>
      <c r="Y406" s="420"/>
      <c r="Z406" s="420"/>
      <c r="AA406" s="420"/>
      <c r="AB406" s="420"/>
      <c r="AC406" s="420"/>
      <c r="AD406" s="21"/>
      <c r="AE406" s="21"/>
    </row>
    <row r="407" spans="1:31" ht="15" customHeight="1">
      <c r="A407" s="850"/>
      <c r="B407" s="810" t="s">
        <v>22</v>
      </c>
      <c r="C407" s="811"/>
      <c r="D407" s="811"/>
      <c r="E407" s="812"/>
      <c r="F407" s="742">
        <f>IF(AND(G407="",H407="",I407=""),IF(fio="","",0),"")</f>
      </c>
      <c r="G407" s="792"/>
      <c r="H407" s="792"/>
      <c r="I407" s="821"/>
      <c r="J407" s="822"/>
      <c r="K407" s="350"/>
      <c r="L407" s="387">
        <f>MAX(F407:I408)</f>
        <v>0</v>
      </c>
      <c r="M407" s="391"/>
      <c r="N407" s="392">
        <v>300</v>
      </c>
      <c r="O407" s="373"/>
      <c r="S407" s="40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</row>
    <row r="408" spans="1:31" ht="12.75" customHeight="1">
      <c r="A408" s="851"/>
      <c r="B408" s="854"/>
      <c r="C408" s="855"/>
      <c r="D408" s="855"/>
      <c r="E408" s="856"/>
      <c r="F408" s="743"/>
      <c r="G408" s="809"/>
      <c r="H408" s="809"/>
      <c r="I408" s="823"/>
      <c r="J408" s="824"/>
      <c r="K408" s="350"/>
      <c r="L408" s="387"/>
      <c r="M408" s="402"/>
      <c r="N408" s="403"/>
      <c r="O408" s="373"/>
      <c r="S408" s="40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ht="13.5">
      <c r="A409" s="75"/>
      <c r="B409" s="123"/>
      <c r="C409" s="123"/>
      <c r="D409" s="123"/>
      <c r="E409" s="53"/>
      <c r="F409" s="53"/>
      <c r="G409" s="53"/>
      <c r="H409" s="53"/>
      <c r="I409" s="53"/>
      <c r="J409" s="53"/>
      <c r="K409" s="350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</row>
    <row r="410" spans="1:11" ht="13.5">
      <c r="A410" s="75"/>
      <c r="B410" s="853" t="s">
        <v>135</v>
      </c>
      <c r="C410" s="853"/>
      <c r="D410" s="125"/>
      <c r="E410" s="74"/>
      <c r="F410" s="74"/>
      <c r="G410" s="74"/>
      <c r="H410" s="74"/>
      <c r="I410" s="74"/>
      <c r="J410" s="74"/>
      <c r="K410" s="350"/>
    </row>
    <row r="411" spans="1:11" ht="13.5">
      <c r="A411" s="75"/>
      <c r="B411" s="124"/>
      <c r="C411" s="124"/>
      <c r="D411" s="125"/>
      <c r="E411" s="74"/>
      <c r="F411" s="74"/>
      <c r="G411" s="74"/>
      <c r="H411" s="74"/>
      <c r="I411" s="74"/>
      <c r="J411" s="74"/>
      <c r="K411" s="350"/>
    </row>
    <row r="412" spans="1:20" s="21" customFormat="1" ht="13.5">
      <c r="A412" s="23"/>
      <c r="B412" s="126"/>
      <c r="C412" s="126"/>
      <c r="D412" s="20"/>
      <c r="E412" s="111"/>
      <c r="F412" s="111"/>
      <c r="G412" s="111"/>
      <c r="H412" s="111"/>
      <c r="I412" s="111"/>
      <c r="J412" s="111"/>
      <c r="K412" s="350"/>
      <c r="Q412" s="25"/>
      <c r="R412" s="25"/>
      <c r="S412" s="25"/>
      <c r="T412" s="25"/>
    </row>
    <row r="413" spans="1:25" s="25" customFormat="1" ht="13.5">
      <c r="A413" s="23"/>
      <c r="B413" s="127"/>
      <c r="C413" s="127"/>
      <c r="D413" s="127"/>
      <c r="E413" s="22"/>
      <c r="F413" s="22"/>
      <c r="G413" s="22"/>
      <c r="H413" s="22"/>
      <c r="I413" s="22"/>
      <c r="J413" s="22"/>
      <c r="K413" s="350"/>
      <c r="Q413" s="100"/>
      <c r="R413" s="59"/>
      <c r="S413" s="59"/>
      <c r="T413" s="24"/>
      <c r="U413" s="24"/>
      <c r="V413" s="24"/>
      <c r="W413" s="24"/>
      <c r="X413" s="24"/>
      <c r="Y413" s="24"/>
    </row>
    <row r="414" spans="1:24" s="130" customFormat="1" ht="15.75" customHeight="1">
      <c r="A414" s="546"/>
      <c r="B414" s="813" t="s">
        <v>359</v>
      </c>
      <c r="C414" s="903"/>
      <c r="D414" s="903"/>
      <c r="E414" s="814"/>
      <c r="F414" s="813" t="s">
        <v>360</v>
      </c>
      <c r="G414" s="903"/>
      <c r="H414" s="903"/>
      <c r="I414" s="814"/>
      <c r="J414" s="90"/>
      <c r="K414" s="427"/>
      <c r="L414" s="574"/>
      <c r="M414" s="575" t="s">
        <v>159</v>
      </c>
      <c r="N414" s="576"/>
      <c r="O414" s="577" t="s">
        <v>55</v>
      </c>
      <c r="P414" s="436"/>
      <c r="Q414" s="136"/>
      <c r="R414" s="136"/>
      <c r="S414" s="578"/>
      <c r="T414" s="578"/>
      <c r="U414" s="578"/>
      <c r="V414" s="578"/>
      <c r="W414" s="578"/>
      <c r="X414" s="578"/>
    </row>
    <row r="415" spans="1:24" s="90" customFormat="1" ht="15.75" customHeight="1">
      <c r="A415" s="94" t="s">
        <v>109</v>
      </c>
      <c r="B415" s="828" t="s">
        <v>144</v>
      </c>
      <c r="C415" s="829"/>
      <c r="D415" s="829"/>
      <c r="E415" s="830"/>
      <c r="F415" s="857">
        <v>640</v>
      </c>
      <c r="G415" s="858"/>
      <c r="H415" s="858"/>
      <c r="I415" s="859"/>
      <c r="K415" s="427"/>
      <c r="L415" s="64" t="s">
        <v>56</v>
      </c>
      <c r="M415" s="579"/>
      <c r="N415" s="579" t="s">
        <v>160</v>
      </c>
      <c r="O415" s="580"/>
      <c r="P415" s="436"/>
      <c r="Q415" s="136"/>
      <c r="R415" s="136"/>
      <c r="S415" s="531"/>
      <c r="T415" s="531"/>
      <c r="U415" s="531"/>
      <c r="V415" s="531"/>
      <c r="W415" s="531"/>
      <c r="X415" s="531"/>
    </row>
    <row r="416" spans="1:24" s="130" customFormat="1" ht="15.75" customHeight="1">
      <c r="A416" s="94" t="s">
        <v>149</v>
      </c>
      <c r="B416" s="828" t="s">
        <v>145</v>
      </c>
      <c r="C416" s="829"/>
      <c r="D416" s="829"/>
      <c r="E416" s="830"/>
      <c r="F416" s="857">
        <v>1430</v>
      </c>
      <c r="G416" s="858"/>
      <c r="H416" s="858"/>
      <c r="I416" s="859"/>
      <c r="J416" s="90"/>
      <c r="K416" s="427"/>
      <c r="L416" s="64">
        <f>SUM(L116:L414)</f>
        <v>0</v>
      </c>
      <c r="M416" s="581"/>
      <c r="N416" s="581"/>
      <c r="O416" s="582"/>
      <c r="P416" s="583"/>
      <c r="Q416" s="136"/>
      <c r="R416" s="136"/>
      <c r="S416" s="578"/>
      <c r="T416" s="129"/>
      <c r="U416" s="129"/>
      <c r="V416" s="129"/>
      <c r="W416" s="129"/>
      <c r="X416" s="129"/>
    </row>
    <row r="417" spans="1:25" s="130" customFormat="1" ht="7.5" customHeight="1">
      <c r="A417" s="546"/>
      <c r="B417" s="90"/>
      <c r="C417" s="123"/>
      <c r="D417" s="123"/>
      <c r="E417" s="123"/>
      <c r="F417" s="123"/>
      <c r="G417" s="545"/>
      <c r="H417" s="17"/>
      <c r="I417" s="17"/>
      <c r="J417" s="123"/>
      <c r="K417" s="427"/>
      <c r="L417" s="574"/>
      <c r="M417" s="574"/>
      <c r="N417" s="574"/>
      <c r="O417" s="584"/>
      <c r="P417" s="90"/>
      <c r="Q417" s="585"/>
      <c r="R417" s="298"/>
      <c r="S417" s="298"/>
      <c r="T417" s="578"/>
      <c r="U417" s="129"/>
      <c r="V417" s="129"/>
      <c r="W417" s="129"/>
      <c r="X417" s="129"/>
      <c r="Y417" s="129"/>
    </row>
    <row r="418" spans="1:18" s="90" customFormat="1" ht="3" customHeight="1">
      <c r="A418" s="546"/>
      <c r="B418" s="128"/>
      <c r="C418" s="110"/>
      <c r="D418" s="110"/>
      <c r="E418" s="110"/>
      <c r="F418" s="110"/>
      <c r="G418" s="110"/>
      <c r="H418" s="110"/>
      <c r="I418" s="110"/>
      <c r="J418" s="110"/>
      <c r="K418" s="427"/>
      <c r="L418" s="574"/>
      <c r="M418" s="574"/>
      <c r="N418" s="574"/>
      <c r="O418" s="584"/>
      <c r="Q418" s="108"/>
      <c r="R418" s="108"/>
    </row>
    <row r="419" spans="1:20" s="21" customFormat="1" ht="15.75" customHeight="1">
      <c r="A419" s="23"/>
      <c r="B419" s="834" t="s">
        <v>153</v>
      </c>
      <c r="C419" s="834"/>
      <c r="D419" s="834"/>
      <c r="E419" s="834"/>
      <c r="F419" s="834"/>
      <c r="G419" s="834"/>
      <c r="H419" s="54">
        <f>IF(OR(fio="",L416=0),"",L416)</f>
      </c>
      <c r="I419" s="30" t="s">
        <v>106</v>
      </c>
      <c r="K419" s="350"/>
      <c r="L419" s="10"/>
      <c r="M419" s="10"/>
      <c r="N419" s="10"/>
      <c r="O419" s="139"/>
      <c r="T419" s="3"/>
    </row>
    <row r="420" spans="1:20" s="21" customFormat="1" ht="3.75" customHeight="1">
      <c r="A420" s="23"/>
      <c r="B420" s="128"/>
      <c r="C420" s="110"/>
      <c r="D420" s="110"/>
      <c r="E420" s="110"/>
      <c r="F420" s="110"/>
      <c r="G420" s="110"/>
      <c r="H420" s="110"/>
      <c r="I420" s="110"/>
      <c r="J420" s="111"/>
      <c r="K420" s="350"/>
      <c r="L420" s="28"/>
      <c r="M420" s="28"/>
      <c r="N420" s="28"/>
      <c r="O420" s="139"/>
      <c r="P420" s="28"/>
      <c r="S420" s="28"/>
      <c r="T420" s="3"/>
    </row>
    <row r="421" spans="1:20" s="21" customFormat="1" ht="15.75" customHeight="1">
      <c r="A421" s="60" t="s">
        <v>167</v>
      </c>
      <c r="B421" s="131"/>
      <c r="C421" s="129"/>
      <c r="D421" s="130"/>
      <c r="E421" s="147">
        <f>IF(OR(H419="",fio=""),"",IF(N30&lt;31,IF(L31=1,L30,""),""))</f>
      </c>
      <c r="F421" s="90"/>
      <c r="G421" s="87">
        <f>IF(OR(H419="",fio=""),"",IF(E50="первая",IF(H419&gt;=F415," соответствует"," не соответствует"),IF(H419&gt;=F416," соответствует"," не соответствует")))</f>
      </c>
      <c r="H421" s="33"/>
      <c r="I421" s="885" t="s">
        <v>108</v>
      </c>
      <c r="J421" s="885"/>
      <c r="K421" s="350"/>
      <c r="L421" s="28"/>
      <c r="M421" s="28"/>
      <c r="N421" s="28"/>
      <c r="O421" s="139"/>
      <c r="P421" s="28"/>
      <c r="S421" s="28"/>
      <c r="T421" s="3"/>
    </row>
    <row r="422" spans="1:20" s="21" customFormat="1" ht="15">
      <c r="A422" s="60" t="s">
        <v>146</v>
      </c>
      <c r="B422" s="131"/>
      <c r="C422" s="131"/>
      <c r="D422" s="131"/>
      <c r="E422" s="80">
        <f>IF(OR(H419="",fio="",E50=""),"",IF(E50="первая",A415,A416))</f>
      </c>
      <c r="F422" s="33" t="s">
        <v>107</v>
      </c>
      <c r="G422" s="33"/>
      <c r="H422" s="90"/>
      <c r="I422" s="90"/>
      <c r="J422" s="77"/>
      <c r="K422" s="350"/>
      <c r="L422" s="78"/>
      <c r="M422" s="28"/>
      <c r="N422" s="28"/>
      <c r="O422" s="139"/>
      <c r="P422" s="28"/>
      <c r="S422" s="28"/>
      <c r="T422" s="3"/>
    </row>
    <row r="423" spans="1:20" s="21" customFormat="1" ht="6" customHeight="1">
      <c r="A423" s="23"/>
      <c r="B423" s="128"/>
      <c r="C423" s="110"/>
      <c r="D423" s="110"/>
      <c r="E423" s="110"/>
      <c r="F423" s="110"/>
      <c r="G423" s="110"/>
      <c r="H423" s="110"/>
      <c r="I423" s="110"/>
      <c r="J423" s="110"/>
      <c r="K423" s="350"/>
      <c r="L423" s="3"/>
      <c r="M423" s="3"/>
      <c r="N423" s="3"/>
      <c r="O423" s="889"/>
      <c r="P423" s="889"/>
      <c r="Q423" s="889"/>
      <c r="R423" s="889"/>
      <c r="S423" s="889"/>
      <c r="T423" s="3"/>
    </row>
    <row r="424" spans="1:20" s="21" customFormat="1" ht="15" hidden="1">
      <c r="A424" s="892" t="s">
        <v>480</v>
      </c>
      <c r="B424" s="892"/>
      <c r="C424" s="892"/>
      <c r="D424" s="110"/>
      <c r="E424" s="110"/>
      <c r="F424" s="110"/>
      <c r="G424" s="110"/>
      <c r="H424" s="110"/>
      <c r="I424" s="110"/>
      <c r="J424" s="110"/>
      <c r="K424" s="350"/>
      <c r="L424" s="3"/>
      <c r="M424" s="3"/>
      <c r="N424" s="3"/>
      <c r="O424" s="29"/>
      <c r="P424" s="29"/>
      <c r="Q424" s="29"/>
      <c r="R424" s="29"/>
      <c r="S424" s="29"/>
      <c r="T424" s="3"/>
    </row>
    <row r="425" spans="1:20" s="21" customFormat="1" ht="15" hidden="1">
      <c r="A425" s="892"/>
      <c r="B425" s="892"/>
      <c r="C425" s="892"/>
      <c r="D425" s="132"/>
      <c r="E425" s="81"/>
      <c r="F425" s="116">
        <f>IF(fio&lt;&gt;"",IF('общие сведения'!K98&lt;&gt;"",'общие сведения'!K98,""),"")</f>
      </c>
      <c r="G425" s="79"/>
      <c r="H425" s="79"/>
      <c r="I425" s="79"/>
      <c r="J425" s="79"/>
      <c r="K425" s="350"/>
      <c r="L425" s="3"/>
      <c r="M425" s="3"/>
      <c r="N425" s="3"/>
      <c r="O425" s="138"/>
      <c r="Q425" s="76"/>
      <c r="S425" s="32"/>
      <c r="T425" s="3"/>
    </row>
    <row r="426" spans="1:20" s="21" customFormat="1" ht="21" customHeight="1" hidden="1">
      <c r="A426" s="892" t="s">
        <v>481</v>
      </c>
      <c r="B426" s="892"/>
      <c r="C426" s="892"/>
      <c r="D426" s="132"/>
      <c r="E426" s="81"/>
      <c r="F426" s="739" t="s">
        <v>148</v>
      </c>
      <c r="G426" s="739"/>
      <c r="H426" s="739"/>
      <c r="I426" s="739"/>
      <c r="J426" s="739"/>
      <c r="K426" s="350"/>
      <c r="O426" s="55"/>
      <c r="P426" s="29"/>
      <c r="Q426" s="29"/>
      <c r="R426" s="29"/>
      <c r="S426" s="29"/>
      <c r="T426" s="3"/>
    </row>
    <row r="427" spans="1:20" s="21" customFormat="1" ht="15" hidden="1">
      <c r="A427" s="892"/>
      <c r="B427" s="892"/>
      <c r="C427" s="892"/>
      <c r="D427" s="132"/>
      <c r="E427" s="81"/>
      <c r="F427" s="116">
        <f>IF(fio&lt;&gt;"",IF('общие сведения'!K100&lt;&gt;"",'общие сведения'!K100,""),"")</f>
      </c>
      <c r="G427" s="118"/>
      <c r="H427" s="117"/>
      <c r="I427" s="117"/>
      <c r="J427" s="117"/>
      <c r="K427" s="350"/>
      <c r="L427" s="33"/>
      <c r="M427" s="33"/>
      <c r="N427" s="33"/>
      <c r="O427" s="139"/>
      <c r="P427" s="77"/>
      <c r="Q427" s="77"/>
      <c r="S427" s="31"/>
      <c r="T427" s="3"/>
    </row>
    <row r="428" spans="1:20" s="21" customFormat="1" ht="12.75" customHeight="1" hidden="1">
      <c r="A428" s="220"/>
      <c r="B428" s="221"/>
      <c r="C428" s="5"/>
      <c r="D428" s="132"/>
      <c r="E428" s="81"/>
      <c r="F428" s="739" t="s">
        <v>148</v>
      </c>
      <c r="G428" s="739"/>
      <c r="H428" s="739"/>
      <c r="I428" s="739"/>
      <c r="J428" s="739"/>
      <c r="K428" s="350"/>
      <c r="M428" s="33"/>
      <c r="N428" s="33"/>
      <c r="O428" s="116"/>
      <c r="P428" s="33"/>
      <c r="Q428" s="33"/>
      <c r="R428" s="33"/>
      <c r="S428" s="33"/>
      <c r="T428" s="3"/>
    </row>
    <row r="429" spans="1:20" s="21" customFormat="1" ht="15" hidden="1">
      <c r="A429" s="220"/>
      <c r="B429" s="222"/>
      <c r="C429" s="5"/>
      <c r="D429" s="132"/>
      <c r="E429" s="81"/>
      <c r="F429" s="116">
        <f>IF(fio&lt;&gt;"",IF('общие сведения'!K102&lt;&gt;"",'общие сведения'!K102,""),"")</f>
      </c>
      <c r="G429" s="118"/>
      <c r="H429" s="117"/>
      <c r="I429" s="117"/>
      <c r="J429" s="117"/>
      <c r="K429" s="350"/>
      <c r="L429" s="3"/>
      <c r="M429" s="3"/>
      <c r="N429" s="3"/>
      <c r="O429" s="138"/>
      <c r="Q429" s="27"/>
      <c r="R429" s="3"/>
      <c r="S429" s="3"/>
      <c r="T429" s="3"/>
    </row>
    <row r="430" spans="1:19" s="21" customFormat="1" ht="15" hidden="1">
      <c r="A430" s="220"/>
      <c r="B430" s="222"/>
      <c r="C430" s="5"/>
      <c r="D430" s="132"/>
      <c r="E430" s="81"/>
      <c r="F430" s="739" t="s">
        <v>148</v>
      </c>
      <c r="G430" s="739"/>
      <c r="H430" s="739"/>
      <c r="I430" s="739"/>
      <c r="J430" s="739"/>
      <c r="K430" s="350"/>
      <c r="L430" s="3"/>
      <c r="N430" s="81"/>
      <c r="O430" s="140"/>
      <c r="P430" s="81"/>
      <c r="Q430" s="81"/>
      <c r="R430" s="81"/>
      <c r="S430" s="81"/>
    </row>
    <row r="431" spans="1:19" s="21" customFormat="1" ht="15" hidden="1">
      <c r="A431" s="220"/>
      <c r="B431" s="222"/>
      <c r="C431" s="5"/>
      <c r="D431" s="132"/>
      <c r="E431" s="81"/>
      <c r="F431" s="116">
        <f>IF(fio&lt;&gt;"",IF('общие сведения'!K104&lt;&gt;"",'общие сведения'!K104,""),"")</f>
      </c>
      <c r="G431" s="118"/>
      <c r="H431" s="117"/>
      <c r="I431" s="117"/>
      <c r="J431" s="117"/>
      <c r="K431" s="350"/>
      <c r="N431" s="82"/>
      <c r="O431" s="141"/>
      <c r="P431" s="82"/>
      <c r="Q431" s="82"/>
      <c r="R431" s="82"/>
      <c r="S431" s="82"/>
    </row>
    <row r="432" spans="1:19" s="21" customFormat="1" ht="15" hidden="1">
      <c r="A432" s="220"/>
      <c r="B432" s="222"/>
      <c r="C432" s="5"/>
      <c r="D432" s="110"/>
      <c r="E432" s="110"/>
      <c r="F432" s="739" t="s">
        <v>148</v>
      </c>
      <c r="G432" s="739"/>
      <c r="H432" s="739"/>
      <c r="I432" s="739"/>
      <c r="J432" s="739"/>
      <c r="K432" s="350"/>
      <c r="L432" s="3"/>
      <c r="N432" s="81"/>
      <c r="O432" s="140"/>
      <c r="P432" s="81"/>
      <c r="Q432" s="81"/>
      <c r="R432" s="81"/>
      <c r="S432" s="81"/>
    </row>
    <row r="433" spans="1:19" s="21" customFormat="1" ht="1.5" customHeight="1" hidden="1">
      <c r="A433" s="23"/>
      <c r="B433" s="128"/>
      <c r="C433" s="110"/>
      <c r="D433" s="110"/>
      <c r="E433" s="110"/>
      <c r="F433" s="103"/>
      <c r="G433" s="103"/>
      <c r="H433" s="103"/>
      <c r="I433" s="103"/>
      <c r="J433" s="103"/>
      <c r="K433" s="350"/>
      <c r="L433" s="3"/>
      <c r="N433" s="81"/>
      <c r="O433" s="140"/>
      <c r="P433" s="81"/>
      <c r="Q433" s="81"/>
      <c r="R433" s="81"/>
      <c r="S433" s="81"/>
    </row>
    <row r="434" spans="1:19" s="21" customFormat="1" ht="15" hidden="1">
      <c r="A434" s="90"/>
      <c r="B434" s="891" t="s">
        <v>46</v>
      </c>
      <c r="C434" s="891"/>
      <c r="D434" s="891"/>
      <c r="E434" s="891"/>
      <c r="G434" s="104" t="str">
        <f>IF(H419&lt;&gt;"","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34" s="119"/>
      <c r="I434" s="119"/>
      <c r="J434" s="108"/>
      <c r="K434" s="350"/>
      <c r="N434" s="82"/>
      <c r="O434" s="141"/>
      <c r="P434" s="82"/>
      <c r="Q434" s="82"/>
      <c r="R434" s="82"/>
      <c r="S434" s="82"/>
    </row>
    <row r="435" spans="1:19" s="21" customFormat="1" ht="7.5" customHeight="1" hidden="1">
      <c r="A435" s="90"/>
      <c r="B435" s="133"/>
      <c r="C435" s="133"/>
      <c r="D435" s="133"/>
      <c r="E435" s="34"/>
      <c r="F435" s="104"/>
      <c r="G435" s="120"/>
      <c r="H435" s="119"/>
      <c r="I435" s="119"/>
      <c r="J435" s="108"/>
      <c r="K435" s="350"/>
      <c r="N435" s="82"/>
      <c r="O435" s="141"/>
      <c r="P435" s="82"/>
      <c r="Q435" s="82"/>
      <c r="R435" s="82"/>
      <c r="S435" s="82"/>
    </row>
    <row r="436" spans="1:19" s="21" customFormat="1" ht="15" hidden="1">
      <c r="A436" s="90"/>
      <c r="B436" s="133"/>
      <c r="C436" s="133"/>
      <c r="D436" s="133"/>
      <c r="E436" s="34"/>
      <c r="F436" s="104"/>
      <c r="G436" s="120"/>
      <c r="H436" s="119"/>
      <c r="I436" s="119"/>
      <c r="J436" s="108"/>
      <c r="K436" s="350"/>
      <c r="N436" s="82"/>
      <c r="O436" s="141"/>
      <c r="P436" s="82"/>
      <c r="Q436" s="82"/>
      <c r="R436" s="82"/>
      <c r="S436" s="82"/>
    </row>
    <row r="437" spans="1:19" s="21" customFormat="1" ht="1.5" customHeight="1" hidden="1">
      <c r="A437" s="90"/>
      <c r="B437" s="133"/>
      <c r="C437" s="133"/>
      <c r="D437" s="133"/>
      <c r="E437" s="34"/>
      <c r="F437" s="104"/>
      <c r="G437" s="120"/>
      <c r="H437" s="119"/>
      <c r="I437" s="119"/>
      <c r="J437" s="108"/>
      <c r="K437" s="350"/>
      <c r="N437" s="82"/>
      <c r="O437" s="141"/>
      <c r="P437" s="82"/>
      <c r="Q437" s="82"/>
      <c r="R437" s="82"/>
      <c r="S437" s="82"/>
    </row>
    <row r="438" spans="1:19" s="21" customFormat="1" ht="15" hidden="1">
      <c r="A438" s="23"/>
      <c r="B438" s="128"/>
      <c r="C438" s="133"/>
      <c r="D438" s="110"/>
      <c r="E438" s="110"/>
      <c r="F438" s="110"/>
      <c r="G438" s="110"/>
      <c r="H438" s="35"/>
      <c r="I438" s="35"/>
      <c r="J438" s="110"/>
      <c r="K438" s="350"/>
      <c r="L438" s="3"/>
      <c r="M438" s="81">
        <f>IF(ЭЗ!E687&lt;&gt;"",ЭЗ!E687,"")</f>
      </c>
      <c r="N438" s="81"/>
      <c r="O438" s="140"/>
      <c r="P438" s="81"/>
      <c r="Q438" s="81"/>
      <c r="R438" s="81"/>
      <c r="S438" s="81"/>
    </row>
    <row r="439" spans="1:19" s="21" customFormat="1" ht="12" customHeight="1" hidden="1">
      <c r="A439" s="890" t="s">
        <v>226</v>
      </c>
      <c r="B439" s="890"/>
      <c r="C439" s="890"/>
      <c r="D439" s="890"/>
      <c r="E439" s="890"/>
      <c r="F439" s="890"/>
      <c r="G439" s="890"/>
      <c r="H439" s="890"/>
      <c r="I439" s="890"/>
      <c r="J439" s="890"/>
      <c r="K439" s="350"/>
      <c r="N439" s="82"/>
      <c r="O439" s="141"/>
      <c r="P439" s="82"/>
      <c r="Q439" s="82"/>
      <c r="R439" s="82"/>
      <c r="S439" s="82"/>
    </row>
    <row r="440" spans="1:20" s="21" customFormat="1" ht="15" hidden="1">
      <c r="A440" s="122" t="s">
        <v>45</v>
      </c>
      <c r="B440" s="90"/>
      <c r="C440" s="134"/>
      <c r="D440" s="90"/>
      <c r="E440" s="88"/>
      <c r="F440" s="60">
        <f>IF('общие сведения'!K25&lt;&gt;"",'общие сведения'!K25,"")</f>
      </c>
      <c r="G440" s="25"/>
      <c r="H440" s="25"/>
      <c r="I440" s="25"/>
      <c r="K440" s="350"/>
      <c r="N440" s="82"/>
      <c r="O440" s="141"/>
      <c r="P440" s="82"/>
      <c r="Q440" s="82"/>
      <c r="R440" s="82"/>
      <c r="S440" s="82"/>
      <c r="T440" s="3"/>
    </row>
    <row r="441" spans="1:19" s="21" customFormat="1" ht="10.5" customHeight="1" hidden="1">
      <c r="A441" s="23"/>
      <c r="B441" s="108"/>
      <c r="C441" s="110"/>
      <c r="D441" s="738" t="s">
        <v>147</v>
      </c>
      <c r="E441" s="738"/>
      <c r="F441" s="739" t="s">
        <v>148</v>
      </c>
      <c r="G441" s="739"/>
      <c r="H441" s="739"/>
      <c r="I441" s="739"/>
      <c r="J441" s="739"/>
      <c r="K441" s="350"/>
      <c r="N441" s="83"/>
      <c r="O441" s="142"/>
      <c r="P441" s="84"/>
      <c r="Q441" s="85"/>
      <c r="R441" s="86"/>
      <c r="S441" s="3"/>
    </row>
    <row r="442" spans="1:19" s="21" customFormat="1" ht="2.25" customHeight="1" hidden="1">
      <c r="A442" s="23"/>
      <c r="B442" s="108"/>
      <c r="C442" s="110"/>
      <c r="D442" s="121"/>
      <c r="E442" s="121"/>
      <c r="F442" s="103"/>
      <c r="G442" s="103"/>
      <c r="H442" s="103"/>
      <c r="I442" s="103"/>
      <c r="J442" s="103"/>
      <c r="K442" s="350"/>
      <c r="N442" s="83"/>
      <c r="O442" s="142"/>
      <c r="P442" s="84"/>
      <c r="Q442" s="85"/>
      <c r="R442" s="86"/>
      <c r="S442" s="3"/>
    </row>
    <row r="443" spans="1:19" s="21" customFormat="1" ht="1.5" customHeight="1" hidden="1">
      <c r="A443" s="23"/>
      <c r="B443" s="108"/>
      <c r="C443" s="110"/>
      <c r="D443" s="121"/>
      <c r="E443" s="121"/>
      <c r="F443" s="103"/>
      <c r="G443" s="103"/>
      <c r="H443" s="103"/>
      <c r="I443" s="103"/>
      <c r="J443" s="103"/>
      <c r="K443" s="350"/>
      <c r="N443" s="83"/>
      <c r="O443" s="142"/>
      <c r="P443" s="84"/>
      <c r="Q443" s="85"/>
      <c r="R443" s="86"/>
      <c r="S443" s="3"/>
    </row>
    <row r="444" spans="1:19" s="21" customFormat="1" ht="1.5" customHeight="1" hidden="1">
      <c r="A444" s="23"/>
      <c r="B444" s="108"/>
      <c r="C444" s="110"/>
      <c r="D444" s="121"/>
      <c r="E444" s="121"/>
      <c r="F444" s="103"/>
      <c r="G444" s="103"/>
      <c r="H444" s="103"/>
      <c r="I444" s="103"/>
      <c r="J444" s="103"/>
      <c r="K444" s="350"/>
      <c r="N444" s="83"/>
      <c r="O444" s="142"/>
      <c r="P444" s="84"/>
      <c r="Q444" s="85"/>
      <c r="R444" s="86"/>
      <c r="S444" s="3"/>
    </row>
    <row r="445" spans="1:20" s="25" customFormat="1" ht="14.25">
      <c r="A445" s="586" t="s">
        <v>158</v>
      </c>
      <c r="C445" s="587"/>
      <c r="D445" s="587"/>
      <c r="E445" s="587"/>
      <c r="F445" s="587"/>
      <c r="G445" s="587"/>
      <c r="H445" s="587"/>
      <c r="I445" s="587"/>
      <c r="J445" s="587"/>
      <c r="K445" s="350"/>
      <c r="L445" s="588"/>
      <c r="M445" s="589"/>
      <c r="N445" s="590"/>
      <c r="O445" s="591"/>
      <c r="P445" s="590"/>
      <c r="Q445" s="592"/>
      <c r="R445" s="593"/>
      <c r="S445" s="408"/>
      <c r="T445" s="408"/>
    </row>
    <row r="446" spans="1:20" s="21" customFormat="1" ht="3" customHeight="1">
      <c r="A446" s="23"/>
      <c r="B446" s="135"/>
      <c r="C446" s="135"/>
      <c r="D446" s="135"/>
      <c r="E446" s="36"/>
      <c r="F446" s="36"/>
      <c r="G446" s="36"/>
      <c r="H446" s="36"/>
      <c r="I446" s="36"/>
      <c r="J446" s="36"/>
      <c r="K446" s="350"/>
      <c r="L446" s="95"/>
      <c r="M446" s="95"/>
      <c r="N446" s="95"/>
      <c r="O446" s="36"/>
      <c r="P446" s="95"/>
      <c r="Q446" s="95"/>
      <c r="R446" s="95"/>
      <c r="S446" s="95"/>
      <c r="T446" s="3"/>
    </row>
    <row r="447" spans="1:20" s="21" customFormat="1" ht="13.5">
      <c r="A447" s="887">
        <f>IF(всего&lt;&gt;"",'общие сведения'!L178,"")</f>
      </c>
      <c r="B447" s="888"/>
      <c r="C447" s="888"/>
      <c r="D447" s="888"/>
      <c r="E447" s="888"/>
      <c r="F447" s="888"/>
      <c r="G447" s="888"/>
      <c r="H447" s="888"/>
      <c r="I447" s="888"/>
      <c r="J447" s="888"/>
      <c r="K447" s="350"/>
      <c r="L447" s="3"/>
      <c r="M447" s="3"/>
      <c r="N447" s="3"/>
      <c r="O447" s="138"/>
      <c r="P447" s="3"/>
      <c r="Q447" s="27"/>
      <c r="R447" s="3"/>
      <c r="S447" s="3"/>
      <c r="T447" s="3"/>
    </row>
    <row r="448" spans="1:20" s="21" customFormat="1" ht="15">
      <c r="A448" s="888"/>
      <c r="B448" s="888"/>
      <c r="C448" s="888"/>
      <c r="D448" s="888"/>
      <c r="E448" s="888"/>
      <c r="F448" s="888"/>
      <c r="G448" s="888"/>
      <c r="H448" s="888"/>
      <c r="I448" s="888"/>
      <c r="J448" s="888"/>
      <c r="K448" s="350"/>
      <c r="L448" s="91"/>
      <c r="M448" s="3"/>
      <c r="N448" s="886"/>
      <c r="O448" s="886"/>
      <c r="P448" s="886"/>
      <c r="Q448" s="886"/>
      <c r="R448" s="886"/>
      <c r="S448" s="886"/>
      <c r="T448" s="3"/>
    </row>
    <row r="449" spans="1:20" s="21" customFormat="1" ht="15">
      <c r="A449" s="888"/>
      <c r="B449" s="888"/>
      <c r="C449" s="888"/>
      <c r="D449" s="888"/>
      <c r="E449" s="888"/>
      <c r="F449" s="888"/>
      <c r="G449" s="888"/>
      <c r="H449" s="888"/>
      <c r="I449" s="888"/>
      <c r="J449" s="888"/>
      <c r="K449" s="350"/>
      <c r="L449" s="92"/>
      <c r="O449" s="139"/>
      <c r="P449" s="92"/>
      <c r="Q449" s="92"/>
      <c r="R449" s="92"/>
      <c r="S449" s="92"/>
      <c r="T449" s="3"/>
    </row>
    <row r="450" spans="1:20" s="21" customFormat="1" ht="16.5" customHeight="1">
      <c r="A450" s="888"/>
      <c r="B450" s="888"/>
      <c r="C450" s="888"/>
      <c r="D450" s="888"/>
      <c r="E450" s="888"/>
      <c r="F450" s="888"/>
      <c r="G450" s="888"/>
      <c r="H450" s="888"/>
      <c r="I450" s="888"/>
      <c r="J450" s="888"/>
      <c r="K450" s="350"/>
      <c r="L450" s="96"/>
      <c r="M450" s="96"/>
      <c r="N450" s="96"/>
      <c r="O450" s="143"/>
      <c r="P450" s="96"/>
      <c r="Q450" s="96"/>
      <c r="R450" s="96"/>
      <c r="S450" s="96"/>
      <c r="T450" s="3"/>
    </row>
    <row r="451" spans="1:20" s="21" customFormat="1" ht="16.5" customHeight="1">
      <c r="A451" s="24"/>
      <c r="B451" s="136"/>
      <c r="C451" s="136"/>
      <c r="D451" s="137"/>
      <c r="E451" s="24"/>
      <c r="F451" s="24"/>
      <c r="G451" s="24"/>
      <c r="H451" s="24"/>
      <c r="I451" s="24"/>
      <c r="J451" s="24"/>
      <c r="K451" s="350"/>
      <c r="L451" s="36"/>
      <c r="M451" s="36"/>
      <c r="N451" s="36"/>
      <c r="O451" s="36"/>
      <c r="P451" s="36"/>
      <c r="Q451" s="36"/>
      <c r="R451" s="36"/>
      <c r="S451" s="36"/>
      <c r="T451" s="3"/>
    </row>
    <row r="452" spans="1:20" s="21" customFormat="1" ht="33" customHeight="1">
      <c r="A452" s="36"/>
      <c r="B452" s="973" t="str">
        <f>IF(A466=13,"Экспертное заключение ГОТОВО к печати","ЭЗ не готово к печати")</f>
        <v>ЭЗ не готово к печати</v>
      </c>
      <c r="C452" s="973"/>
      <c r="D452" s="973"/>
      <c r="E452" s="973"/>
      <c r="F452" s="973"/>
      <c r="G452" s="973"/>
      <c r="H452" s="973"/>
      <c r="I452" s="973"/>
      <c r="J452" s="973"/>
      <c r="K452" s="36"/>
      <c r="L452" s="36"/>
      <c r="M452" s="36"/>
      <c r="N452" s="36"/>
      <c r="O452" s="36"/>
      <c r="P452" s="36"/>
      <c r="Q452" s="36"/>
      <c r="S452" s="36"/>
      <c r="T452" s="3"/>
    </row>
    <row r="453" spans="1:20" s="21" customFormat="1" ht="15">
      <c r="A453" s="183">
        <f aca="true" t="shared" si="1" ref="A453:A465">IF(F453=" + ",1,0)</f>
        <v>0</v>
      </c>
      <c r="B453" s="866" t="s">
        <v>111</v>
      </c>
      <c r="C453" s="866"/>
      <c r="D453" s="866"/>
      <c r="E453" s="204"/>
      <c r="F453" s="204" t="str">
        <f>IF(fio&lt;&gt;""," + ","не заполнено")</f>
        <v>не заполнено</v>
      </c>
      <c r="G453" s="205"/>
      <c r="H453" s="204"/>
      <c r="I453" s="204"/>
      <c r="J453" s="204"/>
      <c r="K453" s="36"/>
      <c r="L453" s="36"/>
      <c r="M453" s="36"/>
      <c r="N453" s="36"/>
      <c r="O453" s="36"/>
      <c r="P453" s="36"/>
      <c r="Q453" s="37"/>
      <c r="S453" s="36"/>
      <c r="T453" s="3"/>
    </row>
    <row r="454" spans="1:20" s="21" customFormat="1" ht="15">
      <c r="A454" s="183">
        <f t="shared" si="1"/>
        <v>0</v>
      </c>
      <c r="B454" s="865" t="s">
        <v>150</v>
      </c>
      <c r="C454" s="865"/>
      <c r="D454" s="865"/>
      <c r="E454" s="207"/>
      <c r="F454" s="208" t="str">
        <f>IF(C42&lt;&gt;""," + ","не заполнено")</f>
        <v>не заполнено</v>
      </c>
      <c r="G454" s="209"/>
      <c r="H454" s="207"/>
      <c r="I454" s="207"/>
      <c r="J454" s="207"/>
      <c r="K454" s="36"/>
      <c r="L454" s="36"/>
      <c r="M454" s="36"/>
      <c r="N454" s="36"/>
      <c r="O454" s="36"/>
      <c r="P454" s="36"/>
      <c r="Q454" s="37"/>
      <c r="S454" s="36"/>
      <c r="T454" s="3"/>
    </row>
    <row r="455" spans="1:20" s="21" customFormat="1" ht="15.75" customHeight="1">
      <c r="A455" s="183">
        <f t="shared" si="1"/>
        <v>0</v>
      </c>
      <c r="B455" s="865" t="s">
        <v>151</v>
      </c>
      <c r="C455" s="865"/>
      <c r="D455" s="865"/>
      <c r="E455" s="207"/>
      <c r="F455" s="208" t="str">
        <f>IF(C45&lt;&gt;""," + ","не заполнено")</f>
        <v>не заполнено</v>
      </c>
      <c r="G455" s="209"/>
      <c r="H455" s="207"/>
      <c r="I455" s="207"/>
      <c r="J455" s="207"/>
      <c r="K455" s="93"/>
      <c r="L455" s="93"/>
      <c r="M455" s="93"/>
      <c r="N455" s="93"/>
      <c r="O455" s="144"/>
      <c r="P455" s="93"/>
      <c r="Q455" s="93"/>
      <c r="S455" s="93"/>
      <c r="T455" s="3"/>
    </row>
    <row r="456" spans="1:20" s="21" customFormat="1" ht="13.5">
      <c r="A456" s="183">
        <f t="shared" si="1"/>
        <v>0</v>
      </c>
      <c r="B456" s="865" t="s">
        <v>112</v>
      </c>
      <c r="C456" s="865"/>
      <c r="D456" s="865"/>
      <c r="E456" s="208"/>
      <c r="F456" s="208" t="str">
        <f>IF(G47&lt;&gt;""," + ","не заполнено")</f>
        <v>не заполнено</v>
      </c>
      <c r="G456" s="209"/>
      <c r="H456" s="208"/>
      <c r="I456" s="208"/>
      <c r="J456" s="208"/>
      <c r="L456" s="45"/>
      <c r="M456" s="45"/>
      <c r="N456" s="45"/>
      <c r="O456" s="139"/>
      <c r="Q456" s="3"/>
      <c r="S456" s="3"/>
      <c r="T456" s="3"/>
    </row>
    <row r="457" spans="1:20" s="21" customFormat="1" ht="13.5">
      <c r="A457" s="183">
        <f t="shared" si="1"/>
        <v>0</v>
      </c>
      <c r="B457" s="865" t="s">
        <v>161</v>
      </c>
      <c r="C457" s="865"/>
      <c r="D457" s="865"/>
      <c r="E457" s="208"/>
      <c r="F457" s="208" t="str">
        <f>IF(E48&lt;&gt;""," + ","не заполнено")</f>
        <v>не заполнено</v>
      </c>
      <c r="G457" s="209"/>
      <c r="H457" s="208"/>
      <c r="I457" s="208"/>
      <c r="J457" s="208"/>
      <c r="L457" s="45"/>
      <c r="M457" s="45"/>
      <c r="N457" s="45"/>
      <c r="O457" s="139"/>
      <c r="Q457" s="3"/>
      <c r="S457" s="3"/>
      <c r="T457" s="3"/>
    </row>
    <row r="458" spans="1:10" ht="13.5">
      <c r="A458" s="183">
        <f t="shared" si="1"/>
        <v>0</v>
      </c>
      <c r="B458" s="865" t="s">
        <v>162</v>
      </c>
      <c r="C458" s="865"/>
      <c r="D458" s="865"/>
      <c r="E458" s="210"/>
      <c r="F458" s="208" t="str">
        <f>IF(E49&lt;&gt;""," + ","не заполнено")</f>
        <v>не заполнено</v>
      </c>
      <c r="G458" s="211"/>
      <c r="H458" s="208"/>
      <c r="I458" s="208"/>
      <c r="J458" s="208"/>
    </row>
    <row r="459" spans="1:10" ht="13.5">
      <c r="A459" s="183">
        <f t="shared" si="1"/>
        <v>0</v>
      </c>
      <c r="B459" s="865" t="s">
        <v>163</v>
      </c>
      <c r="C459" s="865"/>
      <c r="D459" s="865"/>
      <c r="E459" s="212"/>
      <c r="F459" s="208" t="str">
        <f>IF(I49&lt;&gt;""," + ",IF(E49="нет"," + ","не заполнено"))</f>
        <v>не заполнено</v>
      </c>
      <c r="G459" s="211"/>
      <c r="H459" s="212"/>
      <c r="I459" s="212"/>
      <c r="J459" s="213"/>
    </row>
    <row r="460" spans="1:10" ht="13.5">
      <c r="A460" s="183">
        <v>1</v>
      </c>
      <c r="B460" s="865" t="s">
        <v>113</v>
      </c>
      <c r="C460" s="865"/>
      <c r="D460" s="865"/>
      <c r="E460" s="212"/>
      <c r="F460" s="208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60" s="211"/>
      <c r="H460" s="214"/>
      <c r="I460" s="214"/>
      <c r="J460" s="214"/>
    </row>
    <row r="461" spans="1:10" ht="13.5">
      <c r="A461" s="183">
        <f t="shared" si="1"/>
        <v>0</v>
      </c>
      <c r="B461" s="865" t="s">
        <v>216</v>
      </c>
      <c r="C461" s="865"/>
      <c r="D461" s="865"/>
      <c r="E461" s="211"/>
      <c r="F461" s="208" t="str">
        <f>IF(F425&lt;&gt;""," + ","не заполнено")</f>
        <v>не заполнено</v>
      </c>
      <c r="G461" s="211"/>
      <c r="H461" s="211"/>
      <c r="I461" s="211"/>
      <c r="J461" s="211"/>
    </row>
    <row r="462" spans="1:10" ht="13.5">
      <c r="A462" s="183">
        <f t="shared" si="1"/>
        <v>0</v>
      </c>
      <c r="B462" s="865" t="s">
        <v>152</v>
      </c>
      <c r="C462" s="865"/>
      <c r="D462" s="865"/>
      <c r="E462" s="206" t="s">
        <v>217</v>
      </c>
      <c r="F462" s="208" t="str">
        <f>IF(F427&lt;&gt;""," + ","не заполнено")</f>
        <v>не заполнено</v>
      </c>
      <c r="G462" s="211"/>
      <c r="H462" s="211"/>
      <c r="I462" s="211"/>
      <c r="J462" s="211"/>
    </row>
    <row r="463" spans="1:10" ht="13.5">
      <c r="A463" s="183">
        <f t="shared" si="1"/>
        <v>1</v>
      </c>
      <c r="B463" s="215"/>
      <c r="C463" s="216"/>
      <c r="D463" s="216"/>
      <c r="E463" s="206" t="s">
        <v>218</v>
      </c>
      <c r="F463" s="208" t="str">
        <f>IF(AND('общие сведения'!F96&gt;1,F429=""),"не заполнено",IF(AND('общие сведения'!F96&lt;2,F429&lt;&gt;""),"кол-во экспертов не предусматривает наличие второго"," + "))</f>
        <v> + </v>
      </c>
      <c r="G463" s="211"/>
      <c r="H463" s="211"/>
      <c r="I463" s="211"/>
      <c r="J463" s="211"/>
    </row>
    <row r="464" spans="1:10" ht="13.5" hidden="1">
      <c r="A464" s="183">
        <f t="shared" si="1"/>
        <v>1</v>
      </c>
      <c r="B464" s="215"/>
      <c r="C464" s="216"/>
      <c r="D464" s="216"/>
      <c r="E464" s="206" t="s">
        <v>219</v>
      </c>
      <c r="F464" s="208" t="str">
        <f>IF(AND('общие сведения'!F96&gt;2,F431=""),"не заполнено",IF(AND('общие сведения'!F96&lt;3,F431&lt;&gt;""),"кол-во экспертов не предусматривает наличие третьего"," + "))</f>
        <v> + </v>
      </c>
      <c r="G464" s="211"/>
      <c r="H464" s="211"/>
      <c r="I464" s="211"/>
      <c r="J464" s="211"/>
    </row>
    <row r="465" spans="1:10" ht="13.5">
      <c r="A465" s="183">
        <f t="shared" si="1"/>
        <v>0</v>
      </c>
      <c r="B465" s="868" t="s">
        <v>221</v>
      </c>
      <c r="C465" s="868"/>
      <c r="D465" s="868"/>
      <c r="E465" s="868"/>
      <c r="F465" s="208" t="str">
        <f>IF(H419&lt;&gt;""," + ","не заполнено - подсчет автоматический")</f>
        <v>не заполнено - подсчет автоматический</v>
      </c>
      <c r="G465" s="211"/>
      <c r="H465" s="211"/>
      <c r="I465" s="211"/>
      <c r="J465" s="211"/>
    </row>
    <row r="466" spans="1:10" ht="13.5">
      <c r="A466" s="184">
        <f>SUM(A453:A465)</f>
        <v>3</v>
      </c>
      <c r="B466" s="217"/>
      <c r="C466" s="218"/>
      <c r="D466" s="218"/>
      <c r="E466" s="219"/>
      <c r="F466" s="219"/>
      <c r="G466" s="219"/>
      <c r="H466" s="219"/>
      <c r="I466" s="219"/>
      <c r="J466" s="219"/>
    </row>
    <row r="467" spans="1:15" s="172" customFormat="1" ht="14.25" thickBot="1">
      <c r="A467" s="186"/>
      <c r="B467" s="187"/>
      <c r="C467" s="188"/>
      <c r="D467" s="188"/>
      <c r="E467" s="189"/>
      <c r="F467" s="189"/>
      <c r="G467" s="189"/>
      <c r="H467" s="189"/>
      <c r="I467" s="189"/>
      <c r="J467" s="189"/>
      <c r="L467" s="190"/>
      <c r="M467" s="190"/>
      <c r="N467" s="190"/>
      <c r="O467" s="191"/>
    </row>
    <row r="468" spans="1:15" s="200" customFormat="1" ht="18" thickBot="1">
      <c r="A468" s="199"/>
      <c r="B468" s="869" t="s">
        <v>224</v>
      </c>
      <c r="C468" s="870"/>
      <c r="D468" s="870"/>
      <c r="E468" s="870"/>
      <c r="F468" s="870"/>
      <c r="G468" s="870"/>
      <c r="H468" s="870"/>
      <c r="I468" s="870"/>
      <c r="J468" s="871"/>
      <c r="L468" s="201"/>
      <c r="M468" s="201"/>
      <c r="N468" s="201"/>
      <c r="O468" s="202"/>
    </row>
    <row r="469" ht="6.75" customHeight="1" thickBot="1"/>
    <row r="470" spans="1:15" s="195" customFormat="1" ht="15.75" thickBot="1">
      <c r="A470" s="196"/>
      <c r="B470" s="869" t="s">
        <v>225</v>
      </c>
      <c r="C470" s="870"/>
      <c r="D470" s="870"/>
      <c r="E470" s="870"/>
      <c r="F470" s="870"/>
      <c r="G470" s="870"/>
      <c r="H470" s="870"/>
      <c r="I470" s="870"/>
      <c r="J470" s="871"/>
      <c r="L470" s="197"/>
      <c r="M470" s="197"/>
      <c r="N470" s="197"/>
      <c r="O470" s="198"/>
    </row>
    <row r="472" spans="2:10" ht="15" customHeight="1">
      <c r="B472" s="872">
        <f>IF($B$452="Экспертное заключение ГОТОВО к печати"," Печать ЭЗ: меню Файл-Печать   или    комбинация клавиш  CTRL+P. ","")</f>
      </c>
      <c r="C472" s="872"/>
      <c r="D472" s="872"/>
      <c r="E472" s="872"/>
      <c r="F472" s="872"/>
      <c r="G472" s="872"/>
      <c r="H472" s="872"/>
      <c r="I472" s="872"/>
      <c r="J472" s="872"/>
    </row>
    <row r="473" spans="2:10" ht="15" customHeight="1">
      <c r="B473" s="112"/>
      <c r="C473" s="867">
        <f>IF($B$452="Экспертное заключение ГОТОВО к печати"," Рекомендуется перед печатью выполнить Предварительный просмотр   (меню Файл)","")</f>
      </c>
      <c r="D473" s="867"/>
      <c r="E473" s="867"/>
      <c r="F473" s="867"/>
      <c r="G473" s="867"/>
      <c r="H473" s="867"/>
      <c r="I473" s="867"/>
      <c r="J473" s="867"/>
    </row>
    <row r="474" spans="2:10" ht="15" customHeight="1">
      <c r="B474" s="203"/>
      <c r="C474" s="867"/>
      <c r="D474" s="867"/>
      <c r="E474" s="867"/>
      <c r="F474" s="867"/>
      <c r="G474" s="867"/>
      <c r="H474" s="867"/>
      <c r="I474" s="867"/>
      <c r="J474" s="867"/>
    </row>
    <row r="475" spans="2:10" ht="15">
      <c r="B475" s="203"/>
      <c r="C475" s="203"/>
      <c r="D475" s="203"/>
      <c r="E475" s="203"/>
      <c r="F475" s="203"/>
      <c r="G475" s="203"/>
      <c r="H475" s="203"/>
      <c r="I475" s="203"/>
      <c r="J475" s="203"/>
    </row>
  </sheetData>
  <sheetProtection password="CF28" sheet="1" objects="1" scenarios="1"/>
  <mergeCells count="517">
    <mergeCell ref="G118:H118"/>
    <mergeCell ref="I118:J118"/>
    <mergeCell ref="E119:F120"/>
    <mergeCell ref="G119:H120"/>
    <mergeCell ref="I119:J120"/>
    <mergeCell ref="A118:A120"/>
    <mergeCell ref="B118:C120"/>
    <mergeCell ref="D118:D120"/>
    <mergeCell ref="E118:F118"/>
    <mergeCell ref="A169:A175"/>
    <mergeCell ref="A166:A168"/>
    <mergeCell ref="B165:C165"/>
    <mergeCell ref="B156:C158"/>
    <mergeCell ref="D156:F158"/>
    <mergeCell ref="G124:J124"/>
    <mergeCell ref="G125:J125"/>
    <mergeCell ref="A127:A134"/>
    <mergeCell ref="B127:F134"/>
    <mergeCell ref="G127:G132"/>
    <mergeCell ref="H127:H132"/>
    <mergeCell ref="I127:I132"/>
    <mergeCell ref="J127:J132"/>
    <mergeCell ref="I133:I134"/>
    <mergeCell ref="J133:J134"/>
    <mergeCell ref="B397:E397"/>
    <mergeCell ref="H369:H373"/>
    <mergeCell ref="G304:G305"/>
    <mergeCell ref="B276:D276"/>
    <mergeCell ref="B277:D280"/>
    <mergeCell ref="A124:A126"/>
    <mergeCell ref="B124:F126"/>
    <mergeCell ref="B306:C309"/>
    <mergeCell ref="B310:C314"/>
    <mergeCell ref="A338:A340"/>
    <mergeCell ref="B177:C177"/>
    <mergeCell ref="B137:J138"/>
    <mergeCell ref="B139:J141"/>
    <mergeCell ref="B135:I135"/>
    <mergeCell ref="E146:E153"/>
    <mergeCell ref="A364:A365"/>
    <mergeCell ref="A366:A368"/>
    <mergeCell ref="B294:C294"/>
    <mergeCell ref="B398:E398"/>
    <mergeCell ref="B399:E402"/>
    <mergeCell ref="B108:J113"/>
    <mergeCell ref="H154:H155"/>
    <mergeCell ref="E154:E155"/>
    <mergeCell ref="H133:H134"/>
    <mergeCell ref="I147:I148"/>
    <mergeCell ref="E115:J115"/>
    <mergeCell ref="E116:J116"/>
    <mergeCell ref="E117:F117"/>
    <mergeCell ref="G117:H117"/>
    <mergeCell ref="I117:J117"/>
    <mergeCell ref="A48:D48"/>
    <mergeCell ref="B103:I103"/>
    <mergeCell ref="A53:J56"/>
    <mergeCell ref="A59:E59"/>
    <mergeCell ref="F414:I414"/>
    <mergeCell ref="F415:I415"/>
    <mergeCell ref="G169:H173"/>
    <mergeCell ref="I169:J173"/>
    <mergeCell ref="B364:I365"/>
    <mergeCell ref="G174:H175"/>
    <mergeCell ref="I174:J175"/>
    <mergeCell ref="B256:C259"/>
    <mergeCell ref="B260:C263"/>
    <mergeCell ref="G369:G373"/>
    <mergeCell ref="F361:G362"/>
    <mergeCell ref="D338:E340"/>
    <mergeCell ref="G168:H168"/>
    <mergeCell ref="I168:J168"/>
    <mergeCell ref="J273:J275"/>
    <mergeCell ref="E262:E263"/>
    <mergeCell ref="F262:F263"/>
    <mergeCell ref="B178:I178"/>
    <mergeCell ref="B180:J183"/>
    <mergeCell ref="B184:J189"/>
    <mergeCell ref="B272:D275"/>
    <mergeCell ref="B366:D368"/>
    <mergeCell ref="J147:J148"/>
    <mergeCell ref="F150:F151"/>
    <mergeCell ref="J151:J152"/>
    <mergeCell ref="G154:G155"/>
    <mergeCell ref="F154:F155"/>
    <mergeCell ref="I164:J165"/>
    <mergeCell ref="G313:G314"/>
    <mergeCell ref="B159:C164"/>
    <mergeCell ref="G166:J166"/>
    <mergeCell ref="G167:J167"/>
    <mergeCell ref="A146:A155"/>
    <mergeCell ref="B146:C155"/>
    <mergeCell ref="D146:D155"/>
    <mergeCell ref="G156:J156"/>
    <mergeCell ref="A156:A158"/>
    <mergeCell ref="A143:A145"/>
    <mergeCell ref="B143:C145"/>
    <mergeCell ref="D143:D145"/>
    <mergeCell ref="E143:J143"/>
    <mergeCell ref="E144:J144"/>
    <mergeCell ref="G164:H165"/>
    <mergeCell ref="G157:J157"/>
    <mergeCell ref="G158:H158"/>
    <mergeCell ref="I158:J158"/>
    <mergeCell ref="I159:J163"/>
    <mergeCell ref="I121:J121"/>
    <mergeCell ref="I154:I155"/>
    <mergeCell ref="J154:J155"/>
    <mergeCell ref="G133:G134"/>
    <mergeCell ref="H349:H350"/>
    <mergeCell ref="E296:J296"/>
    <mergeCell ref="E334:E335"/>
    <mergeCell ref="H323:H324"/>
    <mergeCell ref="E253:J253"/>
    <mergeCell ref="I270:I271"/>
    <mergeCell ref="I354:J354"/>
    <mergeCell ref="A121:A123"/>
    <mergeCell ref="D121:D123"/>
    <mergeCell ref="G121:H121"/>
    <mergeCell ref="G122:H123"/>
    <mergeCell ref="A159:A165"/>
    <mergeCell ref="D281:D283"/>
    <mergeCell ref="D159:F165"/>
    <mergeCell ref="G159:H163"/>
    <mergeCell ref="A298:A305"/>
    <mergeCell ref="D360:D362"/>
    <mergeCell ref="G374:G375"/>
    <mergeCell ref="E366:J366"/>
    <mergeCell ref="E367:J367"/>
    <mergeCell ref="B369:D370"/>
    <mergeCell ref="B371:D371"/>
    <mergeCell ref="B373:D375"/>
    <mergeCell ref="H360:J360"/>
    <mergeCell ref="F360:G360"/>
    <mergeCell ref="B372:D372"/>
    <mergeCell ref="F374:F375"/>
    <mergeCell ref="B383:E383"/>
    <mergeCell ref="B384:E386"/>
    <mergeCell ref="B387:E387"/>
    <mergeCell ref="E374:E375"/>
    <mergeCell ref="B378:J379"/>
    <mergeCell ref="B380:E382"/>
    <mergeCell ref="H374:H375"/>
    <mergeCell ref="I374:I375"/>
    <mergeCell ref="J374:J375"/>
    <mergeCell ref="A378:A379"/>
    <mergeCell ref="A380:A382"/>
    <mergeCell ref="F380:J380"/>
    <mergeCell ref="F381:J381"/>
    <mergeCell ref="I382:J382"/>
    <mergeCell ref="A369:A375"/>
    <mergeCell ref="E369:E373"/>
    <mergeCell ref="F369:F373"/>
    <mergeCell ref="I369:I373"/>
    <mergeCell ref="J369:J373"/>
    <mergeCell ref="I355:J356"/>
    <mergeCell ref="H359:J359"/>
    <mergeCell ref="A383:A391"/>
    <mergeCell ref="F383:F389"/>
    <mergeCell ref="G383:G389"/>
    <mergeCell ref="H383:H389"/>
    <mergeCell ref="G390:G391"/>
    <mergeCell ref="A357:A359"/>
    <mergeCell ref="H390:H391"/>
    <mergeCell ref="I384:J389"/>
    <mergeCell ref="C45:J45"/>
    <mergeCell ref="I49:J49"/>
    <mergeCell ref="A60:I60"/>
    <mergeCell ref="A61:J63"/>
    <mergeCell ref="A65:I65"/>
    <mergeCell ref="A66:J68"/>
    <mergeCell ref="C46:J46"/>
    <mergeCell ref="A351:A353"/>
    <mergeCell ref="J257:J258"/>
    <mergeCell ref="A38:J38"/>
    <mergeCell ref="A47:C47"/>
    <mergeCell ref="A41:C41"/>
    <mergeCell ref="A49:D49"/>
    <mergeCell ref="D47:F47"/>
    <mergeCell ref="G47:J47"/>
    <mergeCell ref="A42:B42"/>
    <mergeCell ref="C42:J43"/>
    <mergeCell ref="N203:N207"/>
    <mergeCell ref="G199:G202"/>
    <mergeCell ref="B452:J452"/>
    <mergeCell ref="F441:J441"/>
    <mergeCell ref="A424:C425"/>
    <mergeCell ref="H195:H198"/>
    <mergeCell ref="I195:I198"/>
    <mergeCell ref="J195:J198"/>
    <mergeCell ref="A354:A356"/>
    <mergeCell ref="B354:C356"/>
    <mergeCell ref="F339:J339"/>
    <mergeCell ref="E295:J295"/>
    <mergeCell ref="N199:N202"/>
    <mergeCell ref="G203:G207"/>
    <mergeCell ref="H203:H207"/>
    <mergeCell ref="I203:I207"/>
    <mergeCell ref="J203:J207"/>
    <mergeCell ref="L199:L202"/>
    <mergeCell ref="M199:M202"/>
    <mergeCell ref="L203:L207"/>
    <mergeCell ref="F334:F335"/>
    <mergeCell ref="B328:C335"/>
    <mergeCell ref="D351:D353"/>
    <mergeCell ref="B281:C283"/>
    <mergeCell ref="A295:A297"/>
    <mergeCell ref="B351:C353"/>
    <mergeCell ref="E325:J325"/>
    <mergeCell ref="B338:C340"/>
    <mergeCell ref="A341:A350"/>
    <mergeCell ref="F338:J338"/>
    <mergeCell ref="I226:I230"/>
    <mergeCell ref="G222:G225"/>
    <mergeCell ref="I279:I280"/>
    <mergeCell ref="G279:G280"/>
    <mergeCell ref="I212:I215"/>
    <mergeCell ref="A360:A362"/>
    <mergeCell ref="B360:C362"/>
    <mergeCell ref="D354:D356"/>
    <mergeCell ref="H355:H356"/>
    <mergeCell ref="E355:E356"/>
    <mergeCell ref="I291:I292"/>
    <mergeCell ref="H291:H292"/>
    <mergeCell ref="E282:J282"/>
    <mergeCell ref="G291:G292"/>
    <mergeCell ref="F291:F292"/>
    <mergeCell ref="J212:J215"/>
    <mergeCell ref="J226:J230"/>
    <mergeCell ref="H262:H263"/>
    <mergeCell ref="F279:F280"/>
    <mergeCell ref="B212:F215"/>
    <mergeCell ref="A192:A198"/>
    <mergeCell ref="A264:A271"/>
    <mergeCell ref="A219:A225"/>
    <mergeCell ref="F270:F271"/>
    <mergeCell ref="B253:C255"/>
    <mergeCell ref="E256:E260"/>
    <mergeCell ref="D256:D263"/>
    <mergeCell ref="D253:D255"/>
    <mergeCell ref="B219:F221"/>
    <mergeCell ref="A199:A202"/>
    <mergeCell ref="A272:A280"/>
    <mergeCell ref="A208:A211"/>
    <mergeCell ref="A212:A215"/>
    <mergeCell ref="A253:A255"/>
    <mergeCell ref="A281:A283"/>
    <mergeCell ref="A226:A230"/>
    <mergeCell ref="A236:A240"/>
    <mergeCell ref="A231:A235"/>
    <mergeCell ref="A203:A207"/>
    <mergeCell ref="I199:I202"/>
    <mergeCell ref="J199:J202"/>
    <mergeCell ref="B199:F202"/>
    <mergeCell ref="J208:J211"/>
    <mergeCell ref="G192:J192"/>
    <mergeCell ref="G270:G271"/>
    <mergeCell ref="E254:J254"/>
    <mergeCell ref="J270:J271"/>
    <mergeCell ref="D264:D271"/>
    <mergeCell ref="I262:I263"/>
    <mergeCell ref="A115:A117"/>
    <mergeCell ref="A69:I69"/>
    <mergeCell ref="A73:H73"/>
    <mergeCell ref="A76:C76"/>
    <mergeCell ref="D76:G76"/>
    <mergeCell ref="C80:J82"/>
    <mergeCell ref="A84:C85"/>
    <mergeCell ref="A86:C87"/>
    <mergeCell ref="F86:I86"/>
    <mergeCell ref="F88:I88"/>
    <mergeCell ref="B105:J107"/>
    <mergeCell ref="E49:F49"/>
    <mergeCell ref="G49:H49"/>
    <mergeCell ref="B192:F198"/>
    <mergeCell ref="I122:J123"/>
    <mergeCell ref="G193:J193"/>
    <mergeCell ref="A102:J102"/>
    <mergeCell ref="A101:J101"/>
    <mergeCell ref="G92:I92"/>
    <mergeCell ref="E121:F121"/>
    <mergeCell ref="G195:G198"/>
    <mergeCell ref="B121:C123"/>
    <mergeCell ref="E318:E322"/>
    <mergeCell ref="F313:F314"/>
    <mergeCell ref="H241:H245"/>
    <mergeCell ref="H226:H230"/>
    <mergeCell ref="H199:H202"/>
    <mergeCell ref="E264:E269"/>
    <mergeCell ref="G262:G263"/>
    <mergeCell ref="H270:H271"/>
    <mergeCell ref="H334:H335"/>
    <mergeCell ref="D306:D314"/>
    <mergeCell ref="B115:C117"/>
    <mergeCell ref="D115:D117"/>
    <mergeCell ref="G208:G211"/>
    <mergeCell ref="H208:H211"/>
    <mergeCell ref="E270:E271"/>
    <mergeCell ref="H212:H215"/>
    <mergeCell ref="G220:J220"/>
    <mergeCell ref="G226:G230"/>
    <mergeCell ref="D325:D327"/>
    <mergeCell ref="E284:E290"/>
    <mergeCell ref="E323:E324"/>
    <mergeCell ref="E306:E312"/>
    <mergeCell ref="D295:D297"/>
    <mergeCell ref="D298:D305"/>
    <mergeCell ref="A325:A327"/>
    <mergeCell ref="E357:J357"/>
    <mergeCell ref="G334:G335"/>
    <mergeCell ref="B345:C350"/>
    <mergeCell ref="E326:J326"/>
    <mergeCell ref="A328:A335"/>
    <mergeCell ref="J334:J335"/>
    <mergeCell ref="D328:D335"/>
    <mergeCell ref="B337:C337"/>
    <mergeCell ref="I334:I335"/>
    <mergeCell ref="I241:I245"/>
    <mergeCell ref="B203:F207"/>
    <mergeCell ref="B208:F211"/>
    <mergeCell ref="B226:F230"/>
    <mergeCell ref="E291:E292"/>
    <mergeCell ref="E272:E278"/>
    <mergeCell ref="I208:I211"/>
    <mergeCell ref="B216:I216"/>
    <mergeCell ref="G212:G215"/>
    <mergeCell ref="B284:C292"/>
    <mergeCell ref="A256:A263"/>
    <mergeCell ref="A241:A245"/>
    <mergeCell ref="B295:C297"/>
    <mergeCell ref="A315:A317"/>
    <mergeCell ref="A306:A314"/>
    <mergeCell ref="A318:A324"/>
    <mergeCell ref="B298:C305"/>
    <mergeCell ref="A284:A292"/>
    <mergeCell ref="A426:C427"/>
    <mergeCell ref="B357:C359"/>
    <mergeCell ref="B341:C344"/>
    <mergeCell ref="F341:F348"/>
    <mergeCell ref="G343:J343"/>
    <mergeCell ref="B414:E414"/>
    <mergeCell ref="B406:E406"/>
    <mergeCell ref="I353:J353"/>
    <mergeCell ref="E358:J358"/>
    <mergeCell ref="G355:G356"/>
    <mergeCell ref="I323:I324"/>
    <mergeCell ref="N448:S448"/>
    <mergeCell ref="A447:J450"/>
    <mergeCell ref="D441:E441"/>
    <mergeCell ref="O423:S423"/>
    <mergeCell ref="F428:J428"/>
    <mergeCell ref="A439:J439"/>
    <mergeCell ref="B434:E434"/>
    <mergeCell ref="F430:J430"/>
    <mergeCell ref="F426:J426"/>
    <mergeCell ref="F432:J432"/>
    <mergeCell ref="M203:M207"/>
    <mergeCell ref="L208:L211"/>
    <mergeCell ref="M208:M211"/>
    <mergeCell ref="B377:C377"/>
    <mergeCell ref="F323:F324"/>
    <mergeCell ref="G236:G240"/>
    <mergeCell ref="H236:H240"/>
    <mergeCell ref="M241:M245"/>
    <mergeCell ref="I421:J421"/>
    <mergeCell ref="I392:J400"/>
    <mergeCell ref="M231:M235"/>
    <mergeCell ref="I236:I240"/>
    <mergeCell ref="J236:J240"/>
    <mergeCell ref="I222:I225"/>
    <mergeCell ref="J349:J350"/>
    <mergeCell ref="J241:J245"/>
    <mergeCell ref="J279:J280"/>
    <mergeCell ref="I383:J383"/>
    <mergeCell ref="J323:J324"/>
    <mergeCell ref="N241:N245"/>
    <mergeCell ref="B251:I251"/>
    <mergeCell ref="B407:E408"/>
    <mergeCell ref="J262:J263"/>
    <mergeCell ref="D284:D292"/>
    <mergeCell ref="J265:J267"/>
    <mergeCell ref="G323:G324"/>
    <mergeCell ref="H313:H314"/>
    <mergeCell ref="I349:I350"/>
    <mergeCell ref="B264:C271"/>
    <mergeCell ref="M31:N31"/>
    <mergeCell ref="J291:J292"/>
    <mergeCell ref="I313:I314"/>
    <mergeCell ref="J313:J314"/>
    <mergeCell ref="N212:N215"/>
    <mergeCell ref="N226:N230"/>
    <mergeCell ref="L236:L240"/>
    <mergeCell ref="N208:N211"/>
    <mergeCell ref="L212:L215"/>
    <mergeCell ref="M212:M215"/>
    <mergeCell ref="C473:J474"/>
    <mergeCell ref="B461:D461"/>
    <mergeCell ref="B462:D462"/>
    <mergeCell ref="B465:E465"/>
    <mergeCell ref="B468:J468"/>
    <mergeCell ref="B470:J470"/>
    <mergeCell ref="B472:J472"/>
    <mergeCell ref="B460:D460"/>
    <mergeCell ref="B457:D457"/>
    <mergeCell ref="B458:D458"/>
    <mergeCell ref="B453:D453"/>
    <mergeCell ref="B454:D454"/>
    <mergeCell ref="B455:D455"/>
    <mergeCell ref="B456:D456"/>
    <mergeCell ref="B459:D459"/>
    <mergeCell ref="A392:A402"/>
    <mergeCell ref="A403:A408"/>
    <mergeCell ref="B416:E416"/>
    <mergeCell ref="F355:F356"/>
    <mergeCell ref="B410:C410"/>
    <mergeCell ref="D357:D359"/>
    <mergeCell ref="F390:F391"/>
    <mergeCell ref="B389:E391"/>
    <mergeCell ref="F416:I416"/>
    <mergeCell ref="H361:J362"/>
    <mergeCell ref="B419:G419"/>
    <mergeCell ref="H401:H402"/>
    <mergeCell ref="I401:J402"/>
    <mergeCell ref="F403:F406"/>
    <mergeCell ref="G349:G350"/>
    <mergeCell ref="F407:F408"/>
    <mergeCell ref="G407:G408"/>
    <mergeCell ref="I390:J391"/>
    <mergeCell ref="F349:F350"/>
    <mergeCell ref="D341:E350"/>
    <mergeCell ref="N231:N235"/>
    <mergeCell ref="M236:M240"/>
    <mergeCell ref="N236:N240"/>
    <mergeCell ref="L226:L230"/>
    <mergeCell ref="M226:M230"/>
    <mergeCell ref="B415:E415"/>
    <mergeCell ref="B315:C317"/>
    <mergeCell ref="D315:D317"/>
    <mergeCell ref="E315:J315"/>
    <mergeCell ref="E316:J316"/>
    <mergeCell ref="H407:H408"/>
    <mergeCell ref="E352:J352"/>
    <mergeCell ref="B405:E405"/>
    <mergeCell ref="E361:E362"/>
    <mergeCell ref="F359:G359"/>
    <mergeCell ref="B392:E396"/>
    <mergeCell ref="F401:F402"/>
    <mergeCell ref="F392:F400"/>
    <mergeCell ref="I407:J408"/>
    <mergeCell ref="B388:E388"/>
    <mergeCell ref="B231:F235"/>
    <mergeCell ref="B236:F240"/>
    <mergeCell ref="B241:F245"/>
    <mergeCell ref="G403:G406"/>
    <mergeCell ref="B318:C324"/>
    <mergeCell ref="D318:D324"/>
    <mergeCell ref="G231:G235"/>
    <mergeCell ref="B325:C327"/>
    <mergeCell ref="E313:E314"/>
    <mergeCell ref="E328:E333"/>
    <mergeCell ref="H403:H406"/>
    <mergeCell ref="I403:J406"/>
    <mergeCell ref="B403:E403"/>
    <mergeCell ref="H222:H225"/>
    <mergeCell ref="E351:J351"/>
    <mergeCell ref="G392:G400"/>
    <mergeCell ref="H392:H400"/>
    <mergeCell ref="G401:G402"/>
    <mergeCell ref="H304:H305"/>
    <mergeCell ref="B222:F225"/>
    <mergeCell ref="N246:N250"/>
    <mergeCell ref="A246:A250"/>
    <mergeCell ref="B246:F250"/>
    <mergeCell ref="G246:G250"/>
    <mergeCell ref="H246:H250"/>
    <mergeCell ref="I246:I250"/>
    <mergeCell ref="J246:J250"/>
    <mergeCell ref="A45:B45"/>
    <mergeCell ref="L246:L250"/>
    <mergeCell ref="M246:M250"/>
    <mergeCell ref="E122:F123"/>
    <mergeCell ref="L241:L245"/>
    <mergeCell ref="I231:I235"/>
    <mergeCell ref="J231:J235"/>
    <mergeCell ref="A92:F92"/>
    <mergeCell ref="H231:H235"/>
    <mergeCell ref="G219:J219"/>
    <mergeCell ref="B1:E1"/>
    <mergeCell ref="F1:I1"/>
    <mergeCell ref="G50:H50"/>
    <mergeCell ref="A51:B51"/>
    <mergeCell ref="C51:F51"/>
    <mergeCell ref="A34:J34"/>
    <mergeCell ref="A35:J35"/>
    <mergeCell ref="A36:J37"/>
    <mergeCell ref="E50:F50"/>
    <mergeCell ref="A50:D50"/>
    <mergeCell ref="J304:J305"/>
    <mergeCell ref="E298:E303"/>
    <mergeCell ref="E304:E305"/>
    <mergeCell ref="F304:F305"/>
    <mergeCell ref="I304:I305"/>
    <mergeCell ref="L231:L235"/>
    <mergeCell ref="H279:H280"/>
    <mergeCell ref="G241:G245"/>
    <mergeCell ref="E281:J281"/>
    <mergeCell ref="E279:E280"/>
    <mergeCell ref="J222:J225"/>
    <mergeCell ref="B166:F168"/>
    <mergeCell ref="B169:F172"/>
    <mergeCell ref="B173:F175"/>
    <mergeCell ref="D41:J41"/>
    <mergeCell ref="B95:I95"/>
    <mergeCell ref="B96:I96"/>
    <mergeCell ref="D99:E99"/>
    <mergeCell ref="F99:I99"/>
    <mergeCell ref="F90:I90"/>
  </mergeCells>
  <conditionalFormatting sqref="B452:J452">
    <cfRule type="cellIs" priority="6" dxfId="42" operator="equal" stopIfTrue="1">
      <formula>"ЭЗ не готово к печати"</formula>
    </cfRule>
    <cfRule type="cellIs" priority="7" dxfId="43" operator="equal" stopIfTrue="1">
      <formula>"Экспертное заключение ГОТОВО к печати"</formula>
    </cfRule>
  </conditionalFormatting>
  <conditionalFormatting sqref="E425:E433 F435:F437 G434:J437 E85:E91 I93 G93">
    <cfRule type="cellIs" priority="8" dxfId="44" operator="notEqual" stopIfTrue="1">
      <formula>"« __ » ___________  20__ г."</formula>
    </cfRule>
  </conditionalFormatting>
  <conditionalFormatting sqref="F425 F427 F429 F431 F85 F87 F89">
    <cfRule type="cellIs" priority="9" dxfId="45" operator="equal" stopIfTrue="1">
      <formula>"нет данных"</formula>
    </cfRule>
  </conditionalFormatting>
  <conditionalFormatting sqref="E421">
    <cfRule type="cellIs" priority="10" dxfId="45" operator="equal" stopIfTrue="1">
      <formula>"уточните должность"</formula>
    </cfRule>
    <cfRule type="expression" priority="11" dxfId="46" stopIfTrue="1">
      <formula>LEN($E$421)&gt;28</formula>
    </cfRule>
  </conditionalFormatting>
  <conditionalFormatting sqref="G231 G236 G226 G241 G246">
    <cfRule type="expression" priority="18" dxfId="47" stopIfTrue="1">
      <formula>NOT(ISERROR(SEARCH("Не",G226)))</formula>
    </cfRule>
  </conditionalFormatting>
  <conditionalFormatting sqref="B226 B231 B236 B241 B246">
    <cfRule type="expression" priority="19" dxfId="48" stopIfTrue="1">
      <formula>$E$50="первая"</formula>
    </cfRule>
  </conditionalFormatting>
  <conditionalFormatting sqref="G231 G236 G226 G241 G246">
    <cfRule type="expression" priority="4" dxfId="49" stopIfTrue="1">
      <formula>NOT(ISERROR(SEARCH("Не",G226)))</formula>
    </cfRule>
  </conditionalFormatting>
  <conditionalFormatting sqref="B95:I97">
    <cfRule type="cellIs" priority="29" dxfId="50" operator="equal" stopIfTrue="1">
      <formula>" "</formula>
    </cfRule>
  </conditionalFormatting>
  <conditionalFormatting sqref="D76 C77 I73">
    <cfRule type="cellIs" priority="30" dxfId="45" operator="equal" stopIfTrue="1">
      <formula>"уточните должность"</formula>
    </cfRule>
  </conditionalFormatting>
  <conditionalFormatting sqref="G92:I92">
    <cfRule type="cellIs" priority="31" dxfId="51" operator="notEqual" stopIfTrue="1">
      <formula>"« __ » ___________  20__ г."</formula>
    </cfRule>
  </conditionalFormatting>
  <dataValidations count="47">
    <dataValidation allowBlank="1" showInputMessage="1" showErrorMessage="1" promptTitle="Внимание!" prompt="Введите данные на листе &#10;&quot;Общие сведения&quot;" sqref="F440:F444 F432:F433 F430 F425:F428 H434:J437 G434 F435:G437 F429:J429 A434:B437 G427:J427 G425:J425 F431:J431 I93 C57:I58 AT53:BE58 G92:G93 F98:F99 A90:A93 F85:I85 F87:I87 F89:I89 F86 F88 F90:F91 F77 A57:B57 A53 A61"/>
    <dataValidation type="whole" allowBlank="1" showInputMessage="1" showErrorMessage="1" sqref="L445">
      <formula1>1</formula1>
      <formula2>31</formula2>
    </dataValidation>
    <dataValidation type="list" allowBlank="1" showInputMessage="1" showErrorMessage="1" sqref="N44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7:J450"/>
    <dataValidation allowBlank="1" showInputMessage="1" showErrorMessage="1" promptTitle="Внимание!" prompt="Введите должность на листе&#10;&quot;Общие сведения&quot;" sqref="D421:F421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419"/>
    <dataValidation type="list" allowBlank="1" showInputMessage="1" showErrorMessage="1" sqref="G407 G401 G390 G374 H363:I363 I133:I134">
      <formula1>"100, "</formula1>
    </dataValidation>
    <dataValidation type="list" allowBlank="1" showInputMessage="1" showErrorMessage="1" sqref="H407 H390 H401 H374 J133:J134">
      <formula1>"200, "</formula1>
    </dataValidation>
    <dataValidation type="list" allowBlank="1" showInputMessage="1" showErrorMessage="1" sqref="I407 I401 I390 I374 I164">
      <formula1>"300, "</formula1>
    </dataValidation>
    <dataValidation type="list" allowBlank="1" showInputMessage="1" showErrorMessage="1" sqref="F374 H133:H134 H323:H324">
      <formula1>"50, "</formula1>
    </dataValidation>
    <dataValidation type="list" allowBlank="1" showInputMessage="1" showErrorMessage="1" sqref="F363 F355">
      <formula1>"10, "</formula1>
    </dataValidation>
    <dataValidation type="list" allowBlank="1" showInputMessage="1" showErrorMessage="1" sqref="G363 G323:G324">
      <formula1>"40, "</formula1>
    </dataValidation>
    <dataValidation type="list" allowBlank="1" showInputMessage="1" showErrorMessage="1" sqref="J374:J375">
      <formula1>"150, "</formula1>
    </dataValidation>
    <dataValidation type="list" allowBlank="1" showInputMessage="1" showErrorMessage="1" sqref="G355:H355">
      <formula1>"20, "</formula1>
    </dataValidation>
    <dataValidation type="list" allowBlank="1" showInputMessage="1" showErrorMessage="1" sqref="I355:J356">
      <formula1>"10,20,30,40,50,60,70,80,90,100, 110,120,130,140,150,160,170,180,190,200, "</formula1>
    </dataValidation>
    <dataValidation type="list" allowBlank="1" showInputMessage="1" showErrorMessage="1" sqref="H361:J362">
      <formula1>"300, 400, 500, "</formula1>
    </dataValidation>
    <dataValidation type="list" allowBlank="1" showInputMessage="1" showErrorMessage="1" sqref="F361:G362">
      <formula1>"100, 150, 200, 250, "</formula1>
    </dataValidation>
    <dataValidation type="list" allowBlank="1" showInputMessage="1" showErrorMessage="1" sqref="F334:F335 H199:H215">
      <formula1>"10, 20, "</formula1>
    </dataValidation>
    <dataValidation type="list" allowBlank="1" showInputMessage="1" showErrorMessage="1" sqref="I334:I335 I199:I215">
      <formula1>"30, 40, "</formula1>
    </dataValidation>
    <dataValidation type="list" allowBlank="1" showInputMessage="1" showErrorMessage="1" sqref="H334:H335">
      <formula1>"20, 30, "</formula1>
    </dataValidation>
    <dataValidation type="list" allowBlank="1" showInputMessage="1" showErrorMessage="1" sqref="J334:J335">
      <formula1>"40, 50, "</formula1>
    </dataValidation>
    <dataValidation type="list" allowBlank="1" showInputMessage="1" showErrorMessage="1" sqref="G334:G335">
      <formula1>"10, 30, "</formula1>
    </dataValidation>
    <dataValidation type="list" allowBlank="1" showInputMessage="1" showErrorMessage="1" sqref="J199:J215">
      <formula1>"50, 60, "</formula1>
    </dataValidation>
    <dataValidation type="list" allowBlank="1" showInputMessage="1" showErrorMessage="1" sqref="J349:J350">
      <formula1>"50, 80, 100, 150,  180, 200, 230, 250, "</formula1>
    </dataValidation>
    <dataValidation type="list" allowBlank="1" showInputMessage="1" showErrorMessage="1" sqref="I349:I350">
      <formula1>"30, 60, 80, 100, 140, 160, 180"</formula1>
    </dataValidation>
    <dataValidation type="list" allowBlank="1" showInputMessage="1" showErrorMessage="1" sqref="H349:H350">
      <formula1>"20, 40, 50, 70, 90, 100, 110, 120"</formula1>
    </dataValidation>
    <dataValidation type="list" allowBlank="1" showInputMessage="1" showErrorMessage="1" sqref="G349:G350">
      <formula1>"10, 20, 30, 40, 50, 60, 70"</formula1>
    </dataValidation>
    <dataValidation type="list" allowBlank="1" showInputMessage="1" showErrorMessage="1" sqref="F304:F305 F291:F292 F279:F280 F270:F271 F262:F263 F313:F314 F154:F155">
      <formula1>"10, 20, 30, "</formula1>
    </dataValidation>
    <dataValidation type="list" allowBlank="1" showInputMessage="1" showErrorMessage="1" sqref="H313 H304 H291 H279 H270 H262">
      <formula1>"50, 60, 70, "</formula1>
    </dataValidation>
    <dataValidation type="list" allowBlank="1" showInputMessage="1" showErrorMessage="1" sqref="G313:G314 G304:G305 G291:G292 G279:G280 G270:G271 G262:G263">
      <formula1>"30, 40, 50, "</formula1>
    </dataValidation>
    <dataValidation type="list" allowBlank="1" showInputMessage="1" showErrorMessage="1" sqref="I304:I305 I313:I314 I291:I292 I279:I280 I270:I271 I262:I263">
      <formula1>"70, 80, 90, "</formula1>
    </dataValidation>
    <dataValidation type="list" allowBlank="1" showInputMessage="1" showErrorMessage="1" sqref="J304:J305 J313:J314 J291:J292 J279:J280 J270:J271 J262:J263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26 J231 J236 J241 J24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26 I231 I236 I241 I24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26 H231 H236 H241 H246">
      <formula1>"10, 20, 30, "</formula1>
    </dataValidation>
    <dataValidation type="list" allowBlank="1" showInputMessage="1" showErrorMessage="1" sqref="G122:H123 G119:H120 I174:J175">
      <formula1>"10, 20, 30, 40, 50, "</formula1>
    </dataValidation>
    <dataValidation type="list" allowBlank="1" showInputMessage="1" showErrorMessage="1" sqref="I122:J123 I119:J120">
      <formula1>"60, 70, 80, 90, 100, "</formula1>
    </dataValidation>
    <dataValidation type="list" allowBlank="1" showInputMessage="1" showErrorMessage="1" sqref="I154:I155">
      <formula1>"70, 100, 130, 150"</formula1>
    </dataValidation>
    <dataValidation type="list" allowBlank="1" showInputMessage="1" showErrorMessage="1" sqref="H154:H155">
      <formula1>"30, 50, 70, 100, "</formula1>
    </dataValidation>
    <dataValidation type="list" allowBlank="1" showInputMessage="1" showErrorMessage="1" sqref="G154:G155">
      <formula1>"20, 30, 40, 50, "</formula1>
    </dataValidation>
    <dataValidation type="list" allowBlank="1" showInputMessage="1" showErrorMessage="1" sqref="J154:J155">
      <formula1>"100, 170, 200, "</formula1>
    </dataValidation>
    <dataValidation errorStyle="information" allowBlank="1" showInputMessage="1" showErrorMessage="1" promptTitle="Внимание!" prompt="Введите данные на листе &#10;&quot;Общие сведения&quot;" sqref="I41:J48 B41:B47 A41:A45 C46:F47 G46:H48 C41:H45 A47:A48 E48:F48 F59 G51:I51 G49:I49 A49:F51 G50 I50:J50"/>
    <dataValidation allowBlank="1" showInputMessage="1" showErrorMessage="1" promptTitle="Внимание!" prompt="Введите должность на листе&#10;&quot;Общие сведения&quot;&#10;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&#10; -  0 баллов&#10;" sqref="C80:J82"/>
    <dataValidation type="list" allowBlank="1" showInputMessage="1" showErrorMessage="1" sqref="F323:F324">
      <formula1>"30, "</formula1>
    </dataValidation>
    <dataValidation type="list" allowBlank="1" showInputMessage="1" showErrorMessage="1" sqref="J323:J324">
      <formula1>"100, "</formula1>
    </dataValidation>
    <dataValidation type="list" allowBlank="1" showInputMessage="1" showErrorMessage="1" sqref="I323:I324">
      <formula1>"70, "</formula1>
    </dataValidation>
  </dataValidations>
  <hyperlinks>
    <hyperlink ref="B468:J468" location="'общие сведения'!B2" tooltip="Щелкните, чтобы перейти по ссылке" display="вернуться на лист 'общие сведения'"/>
    <hyperlink ref="B470:J470" location="ЭЗ!A1" tooltip="Щелкните, чтобы перейти по ссылке" display="в начало Экспертного заключения"/>
    <hyperlink ref="B453" location="'общие сведения'!C17" display="Фамилия, имя, отчество "/>
    <hyperlink ref="B456" location="'общие сведения'!G19" display="Муниципальное образование "/>
    <hyperlink ref="B456:D456" location="'общие сведения'!G21" tooltip="Щелкните, чтобы перейти по ссылке" display="Муниципальное образование "/>
    <hyperlink ref="B454:D454" location="'общие сведения'!C23" tooltip="Щелкните, чтобы перейти по ссылке" display="Место работы"/>
    <hyperlink ref="B455:D455" location="'общие сведения'!C26" tooltip="Щелкните, чтобы перейти по ссылке" display="Должность "/>
    <hyperlink ref="B457:D457" location="'общие сведения'!D34" tooltip="Щелкните, чтобы перейти по ссылке" display="Стаж педагогической работы"/>
    <hyperlink ref="B458:D458" location="'общие сведения'!D35" tooltip="Щелкните, чтобы перейти по ссылке" display="Наличие квалификационной категории"/>
    <hyperlink ref="B459:D459" location="'общие сведения'!I35" tooltip="Щелкните, чтобы перейти по ссылке" display="дата присвоения"/>
    <hyperlink ref="B460:D460" location="'общие сведения'!D37" tooltip="Щелкните, чтобы перейти по ссылке" display="Заявленная квалификационная категория"/>
    <hyperlink ref="B461:D461" location="'общие сведения'!C67" tooltip="Щелкните, чтобы перейти по ссылке" display="Председатель экспертной группы"/>
    <hyperlink ref="E462" location="'общие сведения'!C69" tooltip="Щелкните, чтобы перейти по ссылке" display="1)"/>
    <hyperlink ref="E463" location="'общие сведения'!C71" tooltip="Щелкните, чтобы перейти по ссылке" display="2)"/>
    <hyperlink ref="E464" location="'общие сведения'!C73" tooltip="Щелкните, чтобы перейти по ссылке" display="3)"/>
    <hyperlink ref="B462:D462" location="'общие сведения'!F65" tooltip="Щелкните, чтобы перейти по ссылке" display="Члены экспертной группы:"/>
    <hyperlink ref="B453:D453" location="'общие сведения'!C19" tooltip="Щелкните, чтобы перейти по ссылке" display="Фамилия, имя, отчество "/>
    <hyperlink ref="B465:E465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r:id="rId1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rintOptions/>
  <pageMargins left="0.4330708661417323" right="0.2362204724409449" top="0.5118110236220472" bottom="0.5118110236220472" header="0.5118110236220472" footer="0.2755905511811024"/>
  <pageSetup fitToHeight="15" horizontalDpi="600" verticalDpi="600" orientation="portrait" paperSize="9" scale="99" r:id="rId5"/>
  <rowBreaks count="8" manualBreakCount="8">
    <brk id="100" max="9" man="1"/>
    <brk id="134" max="9" man="1"/>
    <brk id="177" max="9" man="1"/>
    <brk id="250" max="9" man="1"/>
    <brk id="294" max="9" man="1"/>
    <brk id="337" max="9" man="1"/>
    <brk id="377" max="9" man="1"/>
    <brk id="450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showGridLines="0" showRowColHeaders="0" showOutlineSymbols="0" zoomScaleSheetLayoutView="100" workbookViewId="0" topLeftCell="A1">
      <selection activeCell="A34" sqref="A34:J34"/>
    </sheetView>
  </sheetViews>
  <sheetFormatPr defaultColWidth="9.125" defaultRowHeight="12.75"/>
  <cols>
    <col min="1" max="1" width="4.50390625" style="8" customWidth="1"/>
    <col min="2" max="2" width="10.875" style="109" customWidth="1"/>
    <col min="3" max="3" width="12.50390625" style="109" customWidth="1"/>
    <col min="4" max="4" width="10.50390625" style="110" customWidth="1"/>
    <col min="5" max="5" width="9.50390625" style="110" customWidth="1"/>
    <col min="6" max="9" width="10.375" style="110" customWidth="1"/>
    <col min="10" max="10" width="11.125" style="110" customWidth="1"/>
    <col min="11" max="11" width="0.5" style="3" customWidth="1"/>
    <col min="12" max="12" width="11.50390625" style="38" hidden="1" customWidth="1"/>
    <col min="13" max="13" width="5.625" style="38" hidden="1" customWidth="1"/>
    <col min="14" max="14" width="5.50390625" style="38" hidden="1" customWidth="1"/>
    <col min="15" max="15" width="21.875" style="138" hidden="1" customWidth="1"/>
    <col min="16" max="16" width="9.625" style="3" hidden="1" customWidth="1"/>
    <col min="17" max="17" width="2.875" style="3" hidden="1" customWidth="1"/>
    <col min="18" max="18" width="3.375" style="3" customWidth="1"/>
    <col min="19" max="19" width="13.00390625" style="3" customWidth="1"/>
    <col min="20" max="20" width="12.00390625" style="3" customWidth="1"/>
    <col min="21" max="16384" width="9.125" style="3" customWidth="1"/>
  </cols>
  <sheetData>
    <row r="1" spans="1:18" ht="15.75">
      <c r="A1" s="515"/>
      <c r="B1" s="749" t="s">
        <v>520</v>
      </c>
      <c r="C1" s="749"/>
      <c r="D1" s="749"/>
      <c r="E1" s="749"/>
      <c r="F1" s="749" t="s">
        <v>521</v>
      </c>
      <c r="G1" s="749"/>
      <c r="H1" s="749"/>
      <c r="I1" s="749"/>
      <c r="J1" s="340"/>
      <c r="K1" s="349" t="str">
        <f>Версия</f>
        <v> ЭЗ - 2018г</v>
      </c>
      <c r="L1" s="158"/>
      <c r="M1" s="159"/>
      <c r="N1" s="160"/>
      <c r="O1" s="160" t="s">
        <v>43</v>
      </c>
      <c r="P1" s="145" t="s">
        <v>44</v>
      </c>
      <c r="Q1" s="349"/>
      <c r="R1" s="3" t="s">
        <v>549</v>
      </c>
    </row>
    <row r="2" spans="9:17" ht="10.5" customHeight="1" hidden="1">
      <c r="I2" s="11"/>
      <c r="J2" s="340"/>
      <c r="K2" s="349"/>
      <c r="L2" s="358" t="str">
        <f>'общие сведения'!A137</f>
        <v>воспитатель</v>
      </c>
      <c r="M2" s="358"/>
      <c r="N2" s="358" t="str">
        <f>'общие сведения'!D137</f>
        <v>воспитателя</v>
      </c>
      <c r="O2" s="152"/>
      <c r="P2" s="42">
        <f>LEN(N2)</f>
        <v>11</v>
      </c>
      <c r="Q2" s="349"/>
    </row>
    <row r="3" spans="9:17" ht="10.5" customHeight="1" hidden="1">
      <c r="I3" s="11"/>
      <c r="J3" s="340"/>
      <c r="K3" s="349"/>
      <c r="L3" s="358" t="str">
        <f>'общие сведения'!A138</f>
        <v>воспитатель группы продленного дня</v>
      </c>
      <c r="M3" s="358"/>
      <c r="N3" s="358" t="str">
        <f>'общие сведения'!D138</f>
        <v>воспитателя ГПД</v>
      </c>
      <c r="O3" s="152"/>
      <c r="P3" s="42">
        <f aca="true" t="shared" si="0" ref="P3:P29">LEN(N3)</f>
        <v>15</v>
      </c>
      <c r="Q3" s="349"/>
    </row>
    <row r="4" spans="9:17" ht="10.5" customHeight="1" hidden="1">
      <c r="I4" s="11"/>
      <c r="J4" s="340"/>
      <c r="K4" s="349"/>
      <c r="L4" s="358" t="str">
        <f>'общие сведения'!A139</f>
        <v>дефектолог</v>
      </c>
      <c r="M4" s="358"/>
      <c r="N4" s="358" t="str">
        <f>'общие сведения'!D139</f>
        <v>дефектолога</v>
      </c>
      <c r="O4" s="152"/>
      <c r="P4" s="42">
        <f t="shared" si="0"/>
        <v>11</v>
      </c>
      <c r="Q4" s="349"/>
    </row>
    <row r="5" spans="9:17" ht="10.5" customHeight="1" hidden="1">
      <c r="I5" s="11"/>
      <c r="J5" s="340"/>
      <c r="K5" s="349"/>
      <c r="L5" s="358" t="str">
        <f>'общие сведения'!A140</f>
        <v>инструктор по труду</v>
      </c>
      <c r="M5" s="358"/>
      <c r="N5" s="358" t="str">
        <f>'общие сведения'!D140</f>
        <v>инструктора по труду</v>
      </c>
      <c r="O5" s="152"/>
      <c r="P5" s="42">
        <f t="shared" si="0"/>
        <v>20</v>
      </c>
      <c r="Q5" s="349"/>
    </row>
    <row r="6" spans="9:17" ht="10.5" customHeight="1" hidden="1">
      <c r="I6" s="11"/>
      <c r="J6" s="340"/>
      <c r="K6" s="349"/>
      <c r="L6" s="358" t="str">
        <f>'общие сведения'!A141</f>
        <v>инструктор по физической культуре</v>
      </c>
      <c r="M6" s="358"/>
      <c r="N6" s="358" t="str">
        <f>'общие сведения'!D141</f>
        <v>инструктора по физ. культуре</v>
      </c>
      <c r="O6" s="152"/>
      <c r="P6" s="42">
        <f t="shared" si="0"/>
        <v>28</v>
      </c>
      <c r="Q6" s="349"/>
    </row>
    <row r="7" spans="9:17" ht="10.5" customHeight="1" hidden="1">
      <c r="I7" s="11"/>
      <c r="J7" s="340"/>
      <c r="K7" s="349"/>
      <c r="L7" s="358" t="str">
        <f>'общие сведения'!A142</f>
        <v>инструктор по физическому воспитанию</v>
      </c>
      <c r="M7" s="358"/>
      <c r="N7" s="358" t="str">
        <f>'общие сведения'!D142</f>
        <v>инструктора по физ.воспитанию</v>
      </c>
      <c r="O7" s="152"/>
      <c r="P7" s="42">
        <f t="shared" si="0"/>
        <v>29</v>
      </c>
      <c r="Q7" s="349"/>
    </row>
    <row r="8" spans="9:17" ht="10.5" customHeight="1" hidden="1">
      <c r="I8" s="11"/>
      <c r="J8" s="340"/>
      <c r="K8" s="349"/>
      <c r="L8" s="358" t="str">
        <f>'общие сведения'!A143</f>
        <v>инструктор-методист</v>
      </c>
      <c r="M8" s="358"/>
      <c r="N8" s="358" t="str">
        <f>'общие сведения'!D143</f>
        <v>инструктора-методиста</v>
      </c>
      <c r="O8" s="152"/>
      <c r="P8" s="42">
        <f t="shared" si="0"/>
        <v>21</v>
      </c>
      <c r="Q8" s="349"/>
    </row>
    <row r="9" spans="9:17" ht="10.5" customHeight="1" hidden="1">
      <c r="I9" s="11"/>
      <c r="J9" s="340"/>
      <c r="K9" s="349"/>
      <c r="L9" s="358" t="str">
        <f>'общие сведения'!A144</f>
        <v>концертмейстер</v>
      </c>
      <c r="M9" s="358"/>
      <c r="N9" s="358" t="str">
        <f>'общие сведения'!D144</f>
        <v>концертмейстера</v>
      </c>
      <c r="O9" s="152"/>
      <c r="P9" s="42">
        <f t="shared" si="0"/>
        <v>15</v>
      </c>
      <c r="Q9" s="349"/>
    </row>
    <row r="10" spans="9:17" ht="10.5" customHeight="1" hidden="1">
      <c r="I10" s="11"/>
      <c r="J10" s="340"/>
      <c r="K10" s="349"/>
      <c r="L10" s="358" t="str">
        <f>'общие сведения'!A145</f>
        <v>логопед</v>
      </c>
      <c r="M10" s="358"/>
      <c r="N10" s="358" t="str">
        <f>'общие сведения'!D145</f>
        <v>логопеда</v>
      </c>
      <c r="O10" s="152"/>
      <c r="P10" s="42">
        <f t="shared" si="0"/>
        <v>8</v>
      </c>
      <c r="Q10" s="349"/>
    </row>
    <row r="11" spans="9:17" ht="10.5" customHeight="1" hidden="1">
      <c r="I11" s="11"/>
      <c r="J11" s="340"/>
      <c r="K11" s="349"/>
      <c r="L11" s="358" t="str">
        <f>'общие сведения'!A146</f>
        <v>мастер производственного обучения</v>
      </c>
      <c r="M11" s="358"/>
      <c r="N11" s="358" t="str">
        <f>'общие сведения'!D146</f>
        <v>мастера п./о.</v>
      </c>
      <c r="O11" s="152"/>
      <c r="P11" s="42">
        <f t="shared" si="0"/>
        <v>13</v>
      </c>
      <c r="Q11" s="349"/>
    </row>
    <row r="12" spans="9:17" ht="10.5" customHeight="1" hidden="1">
      <c r="I12" s="11"/>
      <c r="J12" s="340"/>
      <c r="K12" s="349"/>
      <c r="L12" s="358" t="str">
        <f>'общие сведения'!A147</f>
        <v>методист</v>
      </c>
      <c r="M12" s="358"/>
      <c r="N12" s="358" t="str">
        <f>'общие сведения'!D147</f>
        <v>методиста</v>
      </c>
      <c r="O12" s="152"/>
      <c r="P12" s="42"/>
      <c r="Q12" s="349"/>
    </row>
    <row r="13" spans="9:17" ht="10.5" customHeight="1" hidden="1">
      <c r="I13" s="11"/>
      <c r="J13" s="340"/>
      <c r="K13" s="349"/>
      <c r="L13" s="358" t="str">
        <f>'общие сведения'!A148</f>
        <v>музыкальный руководитель</v>
      </c>
      <c r="M13" s="358"/>
      <c r="N13" s="358" t="str">
        <f>'общие сведения'!D148</f>
        <v>музыкального руководителя</v>
      </c>
      <c r="O13" s="152"/>
      <c r="P13" s="42">
        <f t="shared" si="0"/>
        <v>25</v>
      </c>
      <c r="Q13" s="349"/>
    </row>
    <row r="14" spans="9:17" ht="10.5" customHeight="1" hidden="1">
      <c r="I14" s="11"/>
      <c r="J14" s="340"/>
      <c r="K14" s="349"/>
      <c r="L14" s="358" t="str">
        <f>'общие сведения'!A149</f>
        <v>педагог</v>
      </c>
      <c r="M14" s="358"/>
      <c r="N14" s="358" t="str">
        <f>'общие сведения'!D149</f>
        <v>педагога</v>
      </c>
      <c r="O14" s="152"/>
      <c r="P14" s="42">
        <f t="shared" si="0"/>
        <v>8</v>
      </c>
      <c r="Q14" s="349"/>
    </row>
    <row r="15" spans="9:17" ht="10.5" customHeight="1" hidden="1">
      <c r="I15" s="11"/>
      <c r="J15" s="340"/>
      <c r="K15" s="349"/>
      <c r="L15" s="358" t="str">
        <f>'общие сведения'!A150</f>
        <v>педагог дополнительного образования</v>
      </c>
      <c r="M15" s="358"/>
      <c r="N15" s="358" t="str">
        <f>'общие сведения'!D150</f>
        <v>педагога доп. образования</v>
      </c>
      <c r="O15" s="152"/>
      <c r="P15" s="42">
        <f t="shared" si="0"/>
        <v>25</v>
      </c>
      <c r="Q15" s="349"/>
    </row>
    <row r="16" spans="9:17" ht="10.5" customHeight="1" hidden="1">
      <c r="I16" s="11"/>
      <c r="J16" s="340"/>
      <c r="K16" s="349"/>
      <c r="L16" s="358" t="str">
        <f>'общие сведения'!A151</f>
        <v>педагог-организатор</v>
      </c>
      <c r="M16" s="358"/>
      <c r="N16" s="358" t="str">
        <f>'общие сведения'!D151</f>
        <v>педагога-организатора</v>
      </c>
      <c r="O16" s="152"/>
      <c r="P16" s="42">
        <f t="shared" si="0"/>
        <v>21</v>
      </c>
      <c r="Q16" s="349"/>
    </row>
    <row r="17" spans="9:17" ht="10.5" customHeight="1" hidden="1">
      <c r="I17" s="11"/>
      <c r="J17" s="340"/>
      <c r="K17" s="349"/>
      <c r="L17" s="358" t="str">
        <f>'общие сведения'!A152</f>
        <v>педагог-психолог</v>
      </c>
      <c r="M17" s="358"/>
      <c r="N17" s="358" t="str">
        <f>'общие сведения'!D152</f>
        <v>педагога-психолога</v>
      </c>
      <c r="O17" s="152"/>
      <c r="P17" s="42">
        <f t="shared" si="0"/>
        <v>18</v>
      </c>
      <c r="Q17" s="349"/>
    </row>
    <row r="18" spans="9:17" ht="10.5" customHeight="1" hidden="1">
      <c r="I18" s="11"/>
      <c r="J18" s="340"/>
      <c r="K18" s="349"/>
      <c r="L18" s="358" t="str">
        <f>'общие сведения'!A153</f>
        <v>преподаватель</v>
      </c>
      <c r="M18" s="358"/>
      <c r="N18" s="358" t="str">
        <f>'общие сведения'!D153</f>
        <v>преподавателя</v>
      </c>
      <c r="O18" s="152"/>
      <c r="P18" s="42">
        <f t="shared" si="0"/>
        <v>13</v>
      </c>
      <c r="Q18" s="349"/>
    </row>
    <row r="19" spans="9:17" ht="10.5" customHeight="1" hidden="1">
      <c r="I19" s="11"/>
      <c r="J19" s="340"/>
      <c r="K19" s="349"/>
      <c r="L19" s="358" t="str">
        <f>'общие сведения'!A154</f>
        <v>преподаватель-организатор </v>
      </c>
      <c r="M19" s="358"/>
      <c r="N19" s="358" t="str">
        <f>'общие сведения'!D154</f>
        <v>преподавателя-организатора </v>
      </c>
      <c r="O19" s="152"/>
      <c r="P19" s="42">
        <f t="shared" si="0"/>
        <v>27</v>
      </c>
      <c r="Q19" s="349"/>
    </row>
    <row r="20" spans="9:17" ht="10.5" customHeight="1" hidden="1">
      <c r="I20" s="11"/>
      <c r="J20" s="340"/>
      <c r="K20" s="349"/>
      <c r="L20" s="358" t="str">
        <f>'общие сведения'!A155</f>
        <v>психолог</v>
      </c>
      <c r="M20" s="358"/>
      <c r="N20" s="358" t="str">
        <f>'общие сведения'!D155</f>
        <v>психолога</v>
      </c>
      <c r="O20" s="152"/>
      <c r="P20" s="42">
        <f t="shared" si="0"/>
        <v>9</v>
      </c>
      <c r="Q20" s="349"/>
    </row>
    <row r="21" spans="9:17" ht="10.5" customHeight="1" hidden="1">
      <c r="I21" s="11"/>
      <c r="J21" s="340"/>
      <c r="K21" s="349"/>
      <c r="L21" s="358" t="str">
        <f>'общие сведения'!A156</f>
        <v>руководитель физ.воспитания</v>
      </c>
      <c r="M21" s="358"/>
      <c r="N21" s="358" t="str">
        <f>'общие сведения'!D156</f>
        <v>руководителя физ. воспитания</v>
      </c>
      <c r="O21" s="152"/>
      <c r="P21" s="42">
        <f t="shared" si="0"/>
        <v>28</v>
      </c>
      <c r="Q21" s="349"/>
    </row>
    <row r="22" spans="9:17" ht="10.5" customHeight="1" hidden="1">
      <c r="I22" s="11"/>
      <c r="J22" s="340"/>
      <c r="K22" s="349"/>
      <c r="L22" s="358" t="str">
        <f>'общие сведения'!A157</f>
        <v>социальный педагог</v>
      </c>
      <c r="M22" s="358"/>
      <c r="N22" s="358" t="str">
        <f>'общие сведения'!D157</f>
        <v>социального педагога</v>
      </c>
      <c r="O22" s="152"/>
      <c r="P22" s="42">
        <f t="shared" si="0"/>
        <v>20</v>
      </c>
      <c r="Q22" s="349"/>
    </row>
    <row r="23" spans="9:17" ht="10.5" customHeight="1" hidden="1">
      <c r="I23" s="11"/>
      <c r="J23" s="340"/>
      <c r="K23" s="349"/>
      <c r="L23" s="358" t="str">
        <f>'общие сведения'!A158</f>
        <v>старший воспитатель</v>
      </c>
      <c r="M23" s="358"/>
      <c r="N23" s="358" t="str">
        <f>'общие сведения'!D158</f>
        <v>старшего воспитателя</v>
      </c>
      <c r="O23" s="152"/>
      <c r="P23" s="42">
        <f t="shared" si="0"/>
        <v>20</v>
      </c>
      <c r="Q23" s="349"/>
    </row>
    <row r="24" spans="9:17" ht="10.5" customHeight="1" hidden="1">
      <c r="I24" s="11"/>
      <c r="J24" s="340"/>
      <c r="K24" s="349"/>
      <c r="L24" s="358" t="str">
        <f>'общие сведения'!A159</f>
        <v>тренер</v>
      </c>
      <c r="M24" s="358"/>
      <c r="N24" s="358" t="str">
        <f>'общие сведения'!D159</f>
        <v>тренера</v>
      </c>
      <c r="O24" s="152"/>
      <c r="P24" s="42">
        <f t="shared" si="0"/>
        <v>7</v>
      </c>
      <c r="Q24" s="349"/>
    </row>
    <row r="25" spans="9:17" ht="10.5" customHeight="1" hidden="1">
      <c r="I25" s="11"/>
      <c r="J25" s="340"/>
      <c r="K25" s="349"/>
      <c r="L25" s="358" t="str">
        <f>'общие сведения'!A160</f>
        <v>тренер-преподаватель</v>
      </c>
      <c r="M25" s="358"/>
      <c r="N25" s="358" t="str">
        <f>'общие сведения'!D160</f>
        <v>тренера-преподавателя</v>
      </c>
      <c r="O25" s="152"/>
      <c r="P25" s="42">
        <f t="shared" si="0"/>
        <v>21</v>
      </c>
      <c r="Q25" s="349"/>
    </row>
    <row r="26" spans="9:17" ht="10.5" customHeight="1" hidden="1">
      <c r="I26" s="11"/>
      <c r="J26" s="340"/>
      <c r="K26" s="349"/>
      <c r="L26" s="358" t="str">
        <f>'общие сведения'!A161</f>
        <v>учитель</v>
      </c>
      <c r="M26" s="358"/>
      <c r="N26" s="358" t="str">
        <f>'общие сведения'!D161</f>
        <v>учителя</v>
      </c>
      <c r="O26" s="152"/>
      <c r="P26" s="42">
        <f t="shared" si="0"/>
        <v>7</v>
      </c>
      <c r="Q26" s="349"/>
    </row>
    <row r="27" spans="9:17" ht="10.5" customHeight="1" hidden="1">
      <c r="I27" s="11"/>
      <c r="J27" s="340"/>
      <c r="K27" s="349"/>
      <c r="L27" s="358" t="str">
        <f>'общие сведения'!A162</f>
        <v>учитель-дефектолог</v>
      </c>
      <c r="M27" s="358"/>
      <c r="N27" s="358" t="str">
        <f>'общие сведения'!D162</f>
        <v>учителя-дефектолога</v>
      </c>
      <c r="O27" s="152"/>
      <c r="P27" s="42">
        <f t="shared" si="0"/>
        <v>19</v>
      </c>
      <c r="Q27" s="349"/>
    </row>
    <row r="28" spans="9:17" ht="10.5" customHeight="1" hidden="1">
      <c r="I28" s="11"/>
      <c r="J28" s="340"/>
      <c r="K28" s="349"/>
      <c r="L28" s="358" t="str">
        <f>'общие сведения'!A163</f>
        <v>учитель-логопед</v>
      </c>
      <c r="M28" s="358"/>
      <c r="N28" s="358" t="str">
        <f>'общие сведения'!D163</f>
        <v>учителя-логопеда</v>
      </c>
      <c r="O28" s="152"/>
      <c r="P28" s="42">
        <f t="shared" si="0"/>
        <v>16</v>
      </c>
      <c r="Q28" s="349"/>
    </row>
    <row r="29" spans="9:17" ht="10.5" customHeight="1" hidden="1">
      <c r="I29" s="11"/>
      <c r="J29" s="340"/>
      <c r="K29" s="349"/>
      <c r="L29" s="358" t="str">
        <f>'общие сведения'!A164</f>
        <v>хормейстер</v>
      </c>
      <c r="M29" s="358"/>
      <c r="N29" s="358" t="str">
        <f>'общие сведения'!D164</f>
        <v>хормейстера</v>
      </c>
      <c r="O29" s="152"/>
      <c r="P29" s="42">
        <f t="shared" si="0"/>
        <v>11</v>
      </c>
      <c r="Q29" s="349"/>
    </row>
    <row r="30" spans="9:17" ht="10.5" customHeight="1" hidden="1">
      <c r="I30" s="11"/>
      <c r="J30" s="340"/>
      <c r="K30" s="349"/>
      <c r="L30" s="359" t="str">
        <f>IF(OR('общие сведения'!K32=""),"Ошибка !",VLOOKUP('общие сведения'!K32,L1:O29,3))</f>
        <v>концертмейстера</v>
      </c>
      <c r="M30" s="360"/>
      <c r="N30" s="361">
        <f>LEN(L30)</f>
        <v>15</v>
      </c>
      <c r="O30" s="156"/>
      <c r="Q30" s="349"/>
    </row>
    <row r="31" spans="9:17" ht="10.5" customHeight="1" hidden="1">
      <c r="I31" s="11"/>
      <c r="J31" s="340"/>
      <c r="K31" s="349"/>
      <c r="L31" s="362">
        <f>IF(ISERR(FIND(LEFT(L30,5),C45)),0,1)</f>
        <v>0</v>
      </c>
      <c r="M31" s="873"/>
      <c r="N31" s="873"/>
      <c r="O31" s="157"/>
      <c r="Q31" s="349"/>
    </row>
    <row r="32" spans="9:17" ht="10.5" customHeight="1" hidden="1">
      <c r="I32" s="11"/>
      <c r="J32" s="340"/>
      <c r="K32" s="349"/>
      <c r="L32" s="348"/>
      <c r="Q32" s="349"/>
    </row>
    <row r="33" spans="9:17" ht="10.5" customHeight="1" hidden="1">
      <c r="I33" s="11"/>
      <c r="J33" s="340"/>
      <c r="K33" s="349"/>
      <c r="L33" s="461"/>
      <c r="Q33" s="349"/>
    </row>
    <row r="34" spans="1:18" ht="15">
      <c r="A34" s="753" t="str">
        <f>ЭЗ!A34</f>
        <v>ЭКСПЕРТНОЕ ЗАКЛЮЧЕНИЕ</v>
      </c>
      <c r="B34" s="753"/>
      <c r="C34" s="753"/>
      <c r="D34" s="753"/>
      <c r="E34" s="753"/>
      <c r="F34" s="753"/>
      <c r="G34" s="753"/>
      <c r="H34" s="753"/>
      <c r="I34" s="753"/>
      <c r="J34" s="753"/>
      <c r="K34" s="349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1" s="108" customFormat="1" ht="12.75" customHeight="1">
      <c r="A35" s="754" t="s">
        <v>548</v>
      </c>
      <c r="B35" s="754"/>
      <c r="C35" s="754"/>
      <c r="D35" s="754"/>
      <c r="E35" s="754"/>
      <c r="F35" s="754"/>
      <c r="G35" s="754"/>
      <c r="H35" s="754"/>
      <c r="I35" s="754"/>
      <c r="J35" s="754"/>
      <c r="K35" s="427"/>
    </row>
    <row r="36" spans="1:11" s="108" customFormat="1" ht="12.75">
      <c r="A36" s="755" t="s">
        <v>550</v>
      </c>
      <c r="B36" s="755"/>
      <c r="C36" s="755"/>
      <c r="D36" s="755"/>
      <c r="E36" s="755"/>
      <c r="F36" s="755"/>
      <c r="G36" s="755"/>
      <c r="H36" s="755"/>
      <c r="I36" s="755"/>
      <c r="J36" s="755"/>
      <c r="K36" s="427"/>
    </row>
    <row r="37" spans="1:11" s="108" customFormat="1" ht="1.5" customHeight="1">
      <c r="A37" s="755"/>
      <c r="B37" s="755"/>
      <c r="C37" s="755"/>
      <c r="D37" s="755"/>
      <c r="E37" s="755"/>
      <c r="F37" s="755"/>
      <c r="G37" s="755"/>
      <c r="H37" s="755"/>
      <c r="I37" s="755"/>
      <c r="J37" s="755"/>
      <c r="K37" s="427"/>
    </row>
    <row r="38" spans="1:11" s="108" customFormat="1" ht="12.75">
      <c r="A38" s="974"/>
      <c r="B38" s="974"/>
      <c r="C38" s="974"/>
      <c r="D38" s="974"/>
      <c r="E38" s="974"/>
      <c r="F38" s="974"/>
      <c r="G38" s="974"/>
      <c r="H38" s="974"/>
      <c r="I38" s="974"/>
      <c r="J38" s="974"/>
      <c r="K38" s="427"/>
    </row>
    <row r="39" spans="1:11" s="432" customFormat="1" ht="18" customHeight="1">
      <c r="A39" s="428" t="s">
        <v>489</v>
      </c>
      <c r="B39" s="346"/>
      <c r="C39" s="346"/>
      <c r="D39" s="441"/>
      <c r="E39" s="441"/>
      <c r="F39" s="441"/>
      <c r="G39" s="441"/>
      <c r="H39" s="441"/>
      <c r="I39" s="441"/>
      <c r="J39" s="441"/>
      <c r="K39" s="431"/>
    </row>
    <row r="40" spans="1:18" s="434" customFormat="1" ht="2.25" customHeight="1">
      <c r="A40" s="428"/>
      <c r="B40" s="429"/>
      <c r="C40" s="429"/>
      <c r="D40" s="430"/>
      <c r="E40" s="430"/>
      <c r="F40" s="430"/>
      <c r="G40" s="430"/>
      <c r="H40" s="430"/>
      <c r="I40" s="430"/>
      <c r="J40" s="430"/>
      <c r="K40" s="431"/>
      <c r="L40" s="432"/>
      <c r="M40" s="432"/>
      <c r="N40" s="432"/>
      <c r="O40" s="432"/>
      <c r="P40" s="432"/>
      <c r="Q40" s="432"/>
      <c r="R40" s="433"/>
    </row>
    <row r="41" spans="1:11" s="435" customFormat="1" ht="12.75">
      <c r="A41" s="751" t="s">
        <v>111</v>
      </c>
      <c r="B41" s="751"/>
      <c r="C41" s="751"/>
      <c r="D41" s="735"/>
      <c r="E41" s="735"/>
      <c r="F41" s="735"/>
      <c r="G41" s="735"/>
      <c r="H41" s="735"/>
      <c r="I41" s="735"/>
      <c r="J41" s="735"/>
      <c r="K41" s="427"/>
    </row>
    <row r="42" spans="1:11" s="435" customFormat="1" ht="15" customHeight="1">
      <c r="A42" s="751" t="s">
        <v>150</v>
      </c>
      <c r="B42" s="751"/>
      <c r="C42" s="977"/>
      <c r="D42" s="977"/>
      <c r="E42" s="977"/>
      <c r="F42" s="977"/>
      <c r="G42" s="977"/>
      <c r="H42" s="977"/>
      <c r="I42" s="977"/>
      <c r="J42" s="977"/>
      <c r="K42" s="427"/>
    </row>
    <row r="43" spans="1:11" s="435" customFormat="1" ht="30" customHeight="1">
      <c r="A43" s="436"/>
      <c r="B43" s="123"/>
      <c r="C43" s="752"/>
      <c r="D43" s="752"/>
      <c r="E43" s="752"/>
      <c r="F43" s="752"/>
      <c r="G43" s="752"/>
      <c r="H43" s="752"/>
      <c r="I43" s="752"/>
      <c r="J43" s="752"/>
      <c r="K43" s="427"/>
    </row>
    <row r="44" spans="1:11" s="435" customFormat="1" ht="12.75" hidden="1">
      <c r="A44" s="436"/>
      <c r="B44" s="123"/>
      <c r="C44" s="437"/>
      <c r="D44" s="437"/>
      <c r="E44" s="437"/>
      <c r="F44" s="437"/>
      <c r="G44" s="437"/>
      <c r="H44" s="437"/>
      <c r="I44" s="437"/>
      <c r="J44" s="437"/>
      <c r="K44" s="427"/>
    </row>
    <row r="45" spans="1:11" s="435" customFormat="1" ht="12.75">
      <c r="A45" s="751" t="s">
        <v>151</v>
      </c>
      <c r="B45" s="751"/>
      <c r="C45" s="978"/>
      <c r="D45" s="978"/>
      <c r="E45" s="978"/>
      <c r="F45" s="978"/>
      <c r="G45" s="978"/>
      <c r="H45" s="978"/>
      <c r="I45" s="978"/>
      <c r="J45" s="978"/>
      <c r="K45" s="427"/>
    </row>
    <row r="46" spans="1:11" s="435" customFormat="1" ht="12.75">
      <c r="A46" s="134" t="s">
        <v>522</v>
      </c>
      <c r="B46" s="516"/>
      <c r="C46" s="978"/>
      <c r="D46" s="978"/>
      <c r="E46" s="978"/>
      <c r="F46" s="978"/>
      <c r="G46" s="978"/>
      <c r="H46" s="978"/>
      <c r="I46" s="978"/>
      <c r="J46" s="978"/>
      <c r="K46" s="427"/>
    </row>
    <row r="47" spans="1:11" s="435" customFormat="1" ht="12.75">
      <c r="A47" s="751" t="s">
        <v>112</v>
      </c>
      <c r="B47" s="751"/>
      <c r="C47" s="751"/>
      <c r="D47" s="975"/>
      <c r="E47" s="975"/>
      <c r="F47" s="975"/>
      <c r="G47" s="976"/>
      <c r="H47" s="976"/>
      <c r="I47" s="976"/>
      <c r="J47" s="976"/>
      <c r="K47" s="427"/>
    </row>
    <row r="48" spans="1:11" s="435" customFormat="1" ht="12.75">
      <c r="A48" s="751" t="s">
        <v>161</v>
      </c>
      <c r="B48" s="751"/>
      <c r="C48" s="751"/>
      <c r="D48" s="751"/>
      <c r="E48" s="438"/>
      <c r="F48" s="439"/>
      <c r="G48" s="440"/>
      <c r="H48" s="440"/>
      <c r="I48" s="440"/>
      <c r="J48" s="440"/>
      <c r="K48" s="427"/>
    </row>
    <row r="49" spans="1:18" s="518" customFormat="1" ht="12.75">
      <c r="A49" s="751" t="s">
        <v>162</v>
      </c>
      <c r="B49" s="751"/>
      <c r="C49" s="751"/>
      <c r="D49" s="751"/>
      <c r="E49" s="943"/>
      <c r="F49" s="943"/>
      <c r="G49" s="750" t="s">
        <v>524</v>
      </c>
      <c r="H49" s="750"/>
      <c r="I49" s="979"/>
      <c r="J49" s="979"/>
      <c r="K49" s="517"/>
      <c r="Q49" s="520"/>
      <c r="R49" s="519"/>
    </row>
    <row r="50" spans="1:18" s="518" customFormat="1" ht="12.75">
      <c r="A50" s="751" t="s">
        <v>113</v>
      </c>
      <c r="B50" s="751"/>
      <c r="C50" s="751"/>
      <c r="D50" s="751"/>
      <c r="E50" s="756"/>
      <c r="F50" s="756"/>
      <c r="G50" s="750">
        <f>IF(E49="нет",'общие сведения'!K43,"")</f>
      </c>
      <c r="H50" s="750"/>
      <c r="I50" s="521">
        <f>IF(E49="нет",'общие сведения'!L43,"")</f>
      </c>
      <c r="J50" s="522">
        <f>IF(E49="нет",'общие сведения'!M43,"")</f>
      </c>
      <c r="K50" s="517"/>
      <c r="L50" s="523"/>
      <c r="Q50" s="520"/>
      <c r="R50" s="519"/>
    </row>
    <row r="51" spans="1:18" s="518" customFormat="1" ht="12.75" customHeight="1">
      <c r="A51" s="751" t="s">
        <v>501</v>
      </c>
      <c r="B51" s="751"/>
      <c r="C51" s="752"/>
      <c r="D51" s="752"/>
      <c r="E51" s="752"/>
      <c r="F51" s="752"/>
      <c r="G51" s="524"/>
      <c r="H51" s="524"/>
      <c r="I51" s="524"/>
      <c r="J51" s="525"/>
      <c r="K51" s="517"/>
      <c r="L51" s="523"/>
      <c r="Q51" s="520"/>
      <c r="R51" s="519"/>
    </row>
    <row r="52" spans="1:18" s="518" customFormat="1" ht="3.75" customHeight="1">
      <c r="A52" s="128"/>
      <c r="B52" s="346"/>
      <c r="C52" s="346"/>
      <c r="D52" s="441"/>
      <c r="E52" s="526"/>
      <c r="F52" s="526"/>
      <c r="G52" s="526"/>
      <c r="H52" s="526"/>
      <c r="I52" s="526"/>
      <c r="J52" s="525"/>
      <c r="K52" s="517"/>
      <c r="L52" s="523"/>
      <c r="Q52" s="520"/>
      <c r="R52" s="519"/>
    </row>
    <row r="53" spans="1:57" s="518" customFormat="1" ht="12.75" customHeight="1">
      <c r="A53" s="981"/>
      <c r="B53" s="981"/>
      <c r="C53" s="981"/>
      <c r="D53" s="981"/>
      <c r="E53" s="981"/>
      <c r="F53" s="981"/>
      <c r="G53" s="981"/>
      <c r="H53" s="981"/>
      <c r="I53" s="981"/>
      <c r="J53" s="981"/>
      <c r="K53" s="517"/>
      <c r="L53" s="523"/>
      <c r="Q53" s="520"/>
      <c r="R53" s="519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</row>
    <row r="54" spans="1:57" s="518" customFormat="1" ht="12.75">
      <c r="A54" s="981"/>
      <c r="B54" s="981"/>
      <c r="C54" s="981"/>
      <c r="D54" s="981"/>
      <c r="E54" s="981"/>
      <c r="F54" s="981"/>
      <c r="G54" s="981"/>
      <c r="H54" s="981"/>
      <c r="I54" s="981"/>
      <c r="J54" s="981"/>
      <c r="K54" s="517"/>
      <c r="L54" s="523"/>
      <c r="Q54" s="520"/>
      <c r="R54" s="519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</row>
    <row r="55" spans="1:57" s="518" customFormat="1" ht="12.75">
      <c r="A55" s="981"/>
      <c r="B55" s="981"/>
      <c r="C55" s="981"/>
      <c r="D55" s="981"/>
      <c r="E55" s="981"/>
      <c r="F55" s="981"/>
      <c r="G55" s="981"/>
      <c r="H55" s="981"/>
      <c r="I55" s="981"/>
      <c r="J55" s="981"/>
      <c r="K55" s="517"/>
      <c r="L55" s="523"/>
      <c r="Q55" s="520"/>
      <c r="R55" s="519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</row>
    <row r="56" spans="1:57" s="518" customFormat="1" ht="12.75">
      <c r="A56" s="981"/>
      <c r="B56" s="981"/>
      <c r="C56" s="981"/>
      <c r="D56" s="981"/>
      <c r="E56" s="981"/>
      <c r="F56" s="981"/>
      <c r="G56" s="981"/>
      <c r="H56" s="981"/>
      <c r="I56" s="981"/>
      <c r="J56" s="981"/>
      <c r="K56" s="517"/>
      <c r="L56" s="523"/>
      <c r="Q56" s="520"/>
      <c r="R56" s="519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</row>
    <row r="57" spans="1:57" s="518" customFormat="1" ht="7.5" customHeight="1">
      <c r="A57" s="527"/>
      <c r="B57" s="527"/>
      <c r="C57" s="527"/>
      <c r="D57" s="527"/>
      <c r="E57" s="527"/>
      <c r="F57" s="527"/>
      <c r="G57" s="527"/>
      <c r="H57" s="527"/>
      <c r="I57" s="527"/>
      <c r="J57" s="525"/>
      <c r="K57" s="517"/>
      <c r="L57" s="523"/>
      <c r="Q57" s="520"/>
      <c r="R57" s="519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</row>
    <row r="58" spans="1:57" s="518" customFormat="1" ht="12.75">
      <c r="A58" s="529" t="s">
        <v>525</v>
      </c>
      <c r="B58" s="132"/>
      <c r="C58" s="528"/>
      <c r="D58" s="528"/>
      <c r="E58" s="528"/>
      <c r="F58" s="530"/>
      <c r="G58" s="528"/>
      <c r="H58" s="528"/>
      <c r="I58" s="528"/>
      <c r="J58" s="525"/>
      <c r="K58" s="517"/>
      <c r="L58" s="523"/>
      <c r="Q58" s="520"/>
      <c r="R58" s="519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</row>
    <row r="59" spans="1:18" s="518" customFormat="1" ht="12.75">
      <c r="A59" s="1071" t="str">
        <f>'общие сведения'!A71</f>
        <v>Курсы повышения квалификации</v>
      </c>
      <c r="B59" s="1071"/>
      <c r="C59" s="1071"/>
      <c r="D59" s="1071"/>
      <c r="E59" s="1071"/>
      <c r="F59" s="532"/>
      <c r="G59" s="132" t="s">
        <v>526</v>
      </c>
      <c r="H59" s="526"/>
      <c r="I59" s="526"/>
      <c r="J59" s="525"/>
      <c r="K59" s="517"/>
      <c r="L59" s="523"/>
      <c r="Q59" s="520"/>
      <c r="R59" s="519"/>
    </row>
    <row r="60" spans="1:18" s="518" customFormat="1" ht="12.75">
      <c r="A60" s="980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0"/>
      <c r="C60" s="980"/>
      <c r="D60" s="980"/>
      <c r="E60" s="980"/>
      <c r="F60" s="980"/>
      <c r="G60" s="980"/>
      <c r="H60" s="980"/>
      <c r="I60" s="980"/>
      <c r="J60" s="525"/>
      <c r="K60" s="517"/>
      <c r="L60" s="523"/>
      <c r="Q60" s="520"/>
      <c r="R60" s="519"/>
    </row>
    <row r="61" spans="1:18" s="518" customFormat="1" ht="12.75" customHeight="1">
      <c r="A61" s="981"/>
      <c r="B61" s="981"/>
      <c r="C61" s="981"/>
      <c r="D61" s="981"/>
      <c r="E61" s="981"/>
      <c r="F61" s="981"/>
      <c r="G61" s="981"/>
      <c r="H61" s="981"/>
      <c r="I61" s="981"/>
      <c r="J61" s="981"/>
      <c r="K61" s="517"/>
      <c r="Q61" s="520"/>
      <c r="R61" s="519"/>
    </row>
    <row r="62" spans="1:18" s="518" customFormat="1" ht="12.75">
      <c r="A62" s="981"/>
      <c r="B62" s="981"/>
      <c r="C62" s="981"/>
      <c r="D62" s="981"/>
      <c r="E62" s="981"/>
      <c r="F62" s="981"/>
      <c r="G62" s="981"/>
      <c r="H62" s="981"/>
      <c r="I62" s="981"/>
      <c r="J62" s="981"/>
      <c r="K62" s="517"/>
      <c r="Q62" s="520"/>
      <c r="R62" s="519"/>
    </row>
    <row r="63" spans="1:18" s="518" customFormat="1" ht="12.75">
      <c r="A63" s="981"/>
      <c r="B63" s="981"/>
      <c r="C63" s="981"/>
      <c r="D63" s="981"/>
      <c r="E63" s="981"/>
      <c r="F63" s="981"/>
      <c r="G63" s="981"/>
      <c r="H63" s="981"/>
      <c r="I63" s="981"/>
      <c r="J63" s="981"/>
      <c r="K63" s="517"/>
      <c r="Q63" s="520"/>
      <c r="R63" s="519"/>
    </row>
    <row r="64" spans="1:18" s="518" customFormat="1" ht="9" customHeight="1">
      <c r="A64" s="533"/>
      <c r="B64" s="346"/>
      <c r="C64" s="346"/>
      <c r="D64" s="441"/>
      <c r="E64" s="526"/>
      <c r="F64" s="526"/>
      <c r="G64" s="526"/>
      <c r="H64" s="526"/>
      <c r="I64" s="526"/>
      <c r="J64" s="525"/>
      <c r="K64" s="517"/>
      <c r="Q64" s="520"/>
      <c r="R64" s="519"/>
    </row>
    <row r="65" spans="1:18" s="518" customFormat="1" ht="12.75">
      <c r="A65" s="982" t="s">
        <v>527</v>
      </c>
      <c r="B65" s="982"/>
      <c r="C65" s="982"/>
      <c r="D65" s="982"/>
      <c r="E65" s="982"/>
      <c r="F65" s="982"/>
      <c r="G65" s="982"/>
      <c r="H65" s="982"/>
      <c r="I65" s="982"/>
      <c r="J65" s="525"/>
      <c r="K65" s="517"/>
      <c r="Q65" s="520"/>
      <c r="R65" s="519"/>
    </row>
    <row r="66" spans="1:18" s="518" customFormat="1" ht="12.75" customHeight="1">
      <c r="A66" s="948" t="s">
        <v>528</v>
      </c>
      <c r="B66" s="948"/>
      <c r="C66" s="948"/>
      <c r="D66" s="948"/>
      <c r="E66" s="948"/>
      <c r="F66" s="948"/>
      <c r="G66" s="948"/>
      <c r="H66" s="948"/>
      <c r="I66" s="948"/>
      <c r="J66" s="948"/>
      <c r="K66" s="517"/>
      <c r="Q66" s="520"/>
      <c r="R66" s="519"/>
    </row>
    <row r="67" spans="1:18" s="518" customFormat="1" ht="12.75">
      <c r="A67" s="948"/>
      <c r="B67" s="948"/>
      <c r="C67" s="948"/>
      <c r="D67" s="948"/>
      <c r="E67" s="948"/>
      <c r="F67" s="948"/>
      <c r="G67" s="948"/>
      <c r="H67" s="948"/>
      <c r="I67" s="948"/>
      <c r="J67" s="948"/>
      <c r="K67" s="517"/>
      <c r="Q67" s="520"/>
      <c r="R67" s="519"/>
    </row>
    <row r="68" spans="1:18" s="518" customFormat="1" ht="12.75">
      <c r="A68" s="948"/>
      <c r="B68" s="948"/>
      <c r="C68" s="948"/>
      <c r="D68" s="948"/>
      <c r="E68" s="948"/>
      <c r="F68" s="948"/>
      <c r="G68" s="948"/>
      <c r="H68" s="948"/>
      <c r="I68" s="948"/>
      <c r="J68" s="948"/>
      <c r="K68" s="517"/>
      <c r="Q68" s="520"/>
      <c r="R68" s="519"/>
    </row>
    <row r="69" spans="1:18" s="518" customFormat="1" ht="20.25" customHeight="1">
      <c r="A69" s="948" t="s">
        <v>529</v>
      </c>
      <c r="B69" s="948"/>
      <c r="C69" s="948"/>
      <c r="D69" s="948"/>
      <c r="E69" s="948"/>
      <c r="F69" s="948"/>
      <c r="G69" s="948"/>
      <c r="H69" s="948"/>
      <c r="I69" s="948"/>
      <c r="J69" s="525"/>
      <c r="K69" s="517"/>
      <c r="Q69" s="520"/>
      <c r="R69" s="519"/>
    </row>
    <row r="70" spans="1:18" s="518" customFormat="1" ht="12.75">
      <c r="A70" s="132" t="str">
        <f>ЭЗ!A70</f>
        <v>1. Продуктивность образовательной деятельности</v>
      </c>
      <c r="C70" s="132"/>
      <c r="D70" s="441"/>
      <c r="E70" s="526"/>
      <c r="F70" s="526"/>
      <c r="G70" s="526"/>
      <c r="H70" s="526"/>
      <c r="J70" s="534"/>
      <c r="K70" s="517"/>
      <c r="Q70" s="520"/>
      <c r="R70" s="519"/>
    </row>
    <row r="71" spans="1:18" s="518" customFormat="1" ht="12.75">
      <c r="A71" s="132" t="str">
        <f>ЭЗ!A71</f>
        <v>2. Продуктивность деятельности педагогического работника по развитию обучающихся/ воспитанников</v>
      </c>
      <c r="C71" s="132"/>
      <c r="D71" s="441"/>
      <c r="E71" s="526"/>
      <c r="F71" s="526"/>
      <c r="G71" s="526"/>
      <c r="H71" s="526"/>
      <c r="J71" s="534"/>
      <c r="K71" s="517"/>
      <c r="Q71" s="520"/>
      <c r="R71" s="519"/>
    </row>
    <row r="72" spans="1:18" s="518" customFormat="1" ht="12.75">
      <c r="A72" s="132" t="str">
        <f>ЭЗ!A72</f>
        <v>3. Продуктивность личного вклада педагогического работника в повышение качества образования</v>
      </c>
      <c r="C72" s="132"/>
      <c r="D72" s="441"/>
      <c r="E72" s="526"/>
      <c r="F72" s="526"/>
      <c r="G72" s="526"/>
      <c r="H72" s="526"/>
      <c r="J72" s="535"/>
      <c r="K72" s="517"/>
      <c r="Q72" s="520"/>
      <c r="R72" s="519"/>
    </row>
    <row r="73" spans="1:18" s="518" customFormat="1" ht="16.5" customHeight="1">
      <c r="A73" s="949" t="s">
        <v>530</v>
      </c>
      <c r="B73" s="949"/>
      <c r="C73" s="949"/>
      <c r="D73" s="949"/>
      <c r="E73" s="949"/>
      <c r="F73" s="949"/>
      <c r="G73" s="949"/>
      <c r="H73" s="949"/>
      <c r="I73" s="536"/>
      <c r="J73" s="537" t="s">
        <v>106</v>
      </c>
      <c r="K73" s="517"/>
      <c r="Q73" s="520"/>
      <c r="R73" s="519"/>
    </row>
    <row r="74" spans="1:18" s="518" customFormat="1" ht="7.5" customHeight="1">
      <c r="A74" s="538"/>
      <c r="B74" s="538"/>
      <c r="C74" s="538"/>
      <c r="D74" s="538"/>
      <c r="E74" s="538"/>
      <c r="F74" s="538"/>
      <c r="G74" s="538"/>
      <c r="H74" s="538"/>
      <c r="I74" s="539"/>
      <c r="J74" s="540"/>
      <c r="K74" s="517"/>
      <c r="Q74" s="520"/>
      <c r="R74" s="519"/>
    </row>
    <row r="75" spans="1:18" s="518" customFormat="1" ht="7.5" customHeight="1" hidden="1">
      <c r="A75" s="538"/>
      <c r="B75" s="538"/>
      <c r="C75" s="538"/>
      <c r="D75" s="538"/>
      <c r="E75" s="538"/>
      <c r="F75" s="538"/>
      <c r="G75" s="538"/>
      <c r="H75" s="538"/>
      <c r="I75" s="539"/>
      <c r="J75" s="525"/>
      <c r="K75" s="517"/>
      <c r="Q75" s="520"/>
      <c r="R75" s="519"/>
    </row>
    <row r="76" spans="1:18" s="543" customFormat="1" ht="15.75" customHeight="1">
      <c r="A76" s="950" t="s">
        <v>531</v>
      </c>
      <c r="B76" s="950"/>
      <c r="C76" s="950"/>
      <c r="D76" s="951"/>
      <c r="E76" s="951"/>
      <c r="F76" s="951"/>
      <c r="G76" s="951"/>
      <c r="H76" s="542" t="s">
        <v>532</v>
      </c>
      <c r="J76" s="544"/>
      <c r="K76" s="517"/>
      <c r="N76" s="17"/>
      <c r="O76" s="545"/>
      <c r="Q76" s="547"/>
      <c r="R76" s="546"/>
    </row>
    <row r="77" spans="1:18" s="543" customFormat="1" ht="12.75">
      <c r="A77" s="131" t="s">
        <v>533</v>
      </c>
      <c r="B77" s="131"/>
      <c r="C77" s="536"/>
      <c r="D77" s="131" t="s">
        <v>534</v>
      </c>
      <c r="F77" s="548"/>
      <c r="I77" s="129"/>
      <c r="J77" s="549"/>
      <c r="K77" s="517"/>
      <c r="N77" s="17"/>
      <c r="O77" s="545"/>
      <c r="Q77" s="547"/>
      <c r="R77" s="546"/>
    </row>
    <row r="78" spans="1:18" s="518" customFormat="1" ht="4.5" customHeight="1">
      <c r="A78" s="128"/>
      <c r="B78" s="346"/>
      <c r="C78" s="346"/>
      <c r="D78" s="441"/>
      <c r="E78" s="526"/>
      <c r="F78" s="526"/>
      <c r="G78" s="526"/>
      <c r="H78" s="526"/>
      <c r="I78" s="526"/>
      <c r="J78" s="525"/>
      <c r="K78" s="517"/>
      <c r="Q78" s="520"/>
      <c r="R78" s="519"/>
    </row>
    <row r="79" spans="1:18" s="518" customFormat="1" ht="12.75">
      <c r="A79" s="529" t="s">
        <v>296</v>
      </c>
      <c r="B79" s="346"/>
      <c r="C79" s="346"/>
      <c r="D79" s="441"/>
      <c r="E79" s="526"/>
      <c r="F79" s="526"/>
      <c r="G79" s="526"/>
      <c r="H79" s="526"/>
      <c r="I79" s="526"/>
      <c r="J79" s="525"/>
      <c r="K79" s="517"/>
      <c r="Q79" s="520"/>
      <c r="R79" s="519"/>
    </row>
    <row r="80" spans="1:50" s="518" customFormat="1" ht="12.75" customHeight="1">
      <c r="A80" s="128"/>
      <c r="B80" s="346"/>
      <c r="C80" s="952"/>
      <c r="D80" s="952"/>
      <c r="E80" s="952"/>
      <c r="F80" s="952"/>
      <c r="G80" s="952"/>
      <c r="H80" s="952"/>
      <c r="I80" s="952"/>
      <c r="J80" s="952"/>
      <c r="K80" s="517"/>
      <c r="L80" s="550"/>
      <c r="M80" s="550"/>
      <c r="N80" s="550"/>
      <c r="O80" s="550"/>
      <c r="P80" s="550"/>
      <c r="Q80" s="520"/>
      <c r="R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0"/>
      <c r="AR80" s="550"/>
      <c r="AS80" s="550"/>
      <c r="AT80" s="550"/>
      <c r="AU80" s="550"/>
      <c r="AV80" s="550"/>
      <c r="AW80" s="550"/>
      <c r="AX80" s="550"/>
    </row>
    <row r="81" spans="1:50" s="518" customFormat="1" ht="12.75">
      <c r="A81" s="128"/>
      <c r="B81" s="346"/>
      <c r="C81" s="952"/>
      <c r="D81" s="952"/>
      <c r="E81" s="952"/>
      <c r="F81" s="952"/>
      <c r="G81" s="952"/>
      <c r="H81" s="952"/>
      <c r="I81" s="952"/>
      <c r="J81" s="952"/>
      <c r="K81" s="517"/>
      <c r="L81" s="550"/>
      <c r="M81" s="550"/>
      <c r="N81" s="550"/>
      <c r="O81" s="550"/>
      <c r="P81" s="550"/>
      <c r="Q81" s="520"/>
      <c r="R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550"/>
      <c r="AR81" s="550"/>
      <c r="AS81" s="550"/>
      <c r="AT81" s="550"/>
      <c r="AU81" s="550"/>
      <c r="AV81" s="550"/>
      <c r="AW81" s="550"/>
      <c r="AX81" s="550"/>
    </row>
    <row r="82" spans="1:50" s="518" customFormat="1" ht="3" customHeight="1">
      <c r="A82" s="128"/>
      <c r="B82" s="346"/>
      <c r="C82" s="952"/>
      <c r="D82" s="952"/>
      <c r="E82" s="952"/>
      <c r="F82" s="952"/>
      <c r="G82" s="952"/>
      <c r="H82" s="952"/>
      <c r="I82" s="952"/>
      <c r="J82" s="952"/>
      <c r="K82" s="517"/>
      <c r="L82" s="550"/>
      <c r="M82" s="550"/>
      <c r="N82" s="550"/>
      <c r="O82" s="550"/>
      <c r="P82" s="550"/>
      <c r="Q82" s="520"/>
      <c r="R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550"/>
      <c r="AR82" s="550"/>
      <c r="AS82" s="550"/>
      <c r="AT82" s="550"/>
      <c r="AU82" s="550"/>
      <c r="AV82" s="550"/>
      <c r="AW82" s="550"/>
      <c r="AX82" s="550"/>
    </row>
    <row r="83" spans="1:18" s="518" customFormat="1" ht="3" customHeight="1">
      <c r="A83" s="128"/>
      <c r="B83" s="346"/>
      <c r="C83" s="346"/>
      <c r="D83" s="441"/>
      <c r="E83" s="526"/>
      <c r="F83" s="526"/>
      <c r="G83" s="526"/>
      <c r="H83" s="526"/>
      <c r="I83" s="526"/>
      <c r="J83" s="525"/>
      <c r="K83" s="517"/>
      <c r="Q83" s="520"/>
      <c r="R83" s="519"/>
    </row>
    <row r="84" spans="1:18" s="543" customFormat="1" ht="15" customHeight="1">
      <c r="A84" s="953" t="s">
        <v>535</v>
      </c>
      <c r="B84" s="953"/>
      <c r="C84" s="953"/>
      <c r="D84" s="441"/>
      <c r="E84" s="441"/>
      <c r="F84" s="441"/>
      <c r="G84" s="441"/>
      <c r="H84" s="441"/>
      <c r="I84" s="441"/>
      <c r="J84" s="525"/>
      <c r="K84" s="517"/>
      <c r="L84" s="551"/>
      <c r="M84" s="551"/>
      <c r="N84" s="551"/>
      <c r="O84" s="131"/>
      <c r="P84" s="131"/>
      <c r="Q84" s="520"/>
      <c r="R84" s="552"/>
    </row>
    <row r="85" spans="1:18" s="543" customFormat="1" ht="12.75">
      <c r="A85" s="953"/>
      <c r="B85" s="953"/>
      <c r="C85" s="953"/>
      <c r="D85" s="132"/>
      <c r="E85" s="132"/>
      <c r="F85" s="553"/>
      <c r="G85" s="554"/>
      <c r="H85" s="554"/>
      <c r="I85" s="554"/>
      <c r="J85" s="525"/>
      <c r="K85" s="517"/>
      <c r="L85" s="551"/>
      <c r="M85" s="551"/>
      <c r="N85" s="132"/>
      <c r="O85" s="353"/>
      <c r="P85" s="555"/>
      <c r="Q85" s="520"/>
      <c r="R85" s="401"/>
    </row>
    <row r="86" spans="1:18" s="543" customFormat="1" ht="9.75" customHeight="1">
      <c r="A86" s="953" t="s">
        <v>536</v>
      </c>
      <c r="B86" s="953"/>
      <c r="C86" s="953"/>
      <c r="D86" s="132"/>
      <c r="E86" s="132"/>
      <c r="F86" s="739" t="s">
        <v>148</v>
      </c>
      <c r="G86" s="739"/>
      <c r="H86" s="739"/>
      <c r="I86" s="739"/>
      <c r="J86" s="525"/>
      <c r="K86" s="517"/>
      <c r="L86" s="556"/>
      <c r="M86" s="556"/>
      <c r="N86" s="92"/>
      <c r="O86" s="132"/>
      <c r="P86" s="132"/>
      <c r="Q86" s="520"/>
      <c r="R86" s="557"/>
    </row>
    <row r="87" spans="1:18" s="543" customFormat="1" ht="15.75" customHeight="1">
      <c r="A87" s="953"/>
      <c r="B87" s="953"/>
      <c r="C87" s="953"/>
      <c r="D87" s="132"/>
      <c r="E87" s="132"/>
      <c r="F87" s="553"/>
      <c r="G87" s="558"/>
      <c r="H87" s="558"/>
      <c r="I87" s="558"/>
      <c r="J87" s="525"/>
      <c r="K87" s="517"/>
      <c r="L87" s="131"/>
      <c r="M87" s="131"/>
      <c r="N87" s="132"/>
      <c r="O87" s="92"/>
      <c r="P87" s="92"/>
      <c r="Q87" s="520"/>
      <c r="R87" s="559"/>
    </row>
    <row r="88" spans="1:18" s="543" customFormat="1" ht="9.75" customHeight="1">
      <c r="A88" s="546"/>
      <c r="B88" s="560"/>
      <c r="C88" s="441"/>
      <c r="D88" s="132"/>
      <c r="E88" s="132"/>
      <c r="F88" s="739" t="s">
        <v>148</v>
      </c>
      <c r="G88" s="739"/>
      <c r="H88" s="739"/>
      <c r="I88" s="739"/>
      <c r="J88" s="525"/>
      <c r="K88" s="517"/>
      <c r="L88" s="131"/>
      <c r="M88" s="131"/>
      <c r="N88" s="92"/>
      <c r="O88" s="132"/>
      <c r="P88" s="132"/>
      <c r="Q88" s="520"/>
      <c r="R88" s="557"/>
    </row>
    <row r="89" spans="1:18" s="543" customFormat="1" ht="15">
      <c r="A89" s="546"/>
      <c r="B89" s="128"/>
      <c r="C89" s="441"/>
      <c r="D89" s="132"/>
      <c r="E89" s="132"/>
      <c r="F89" s="553"/>
      <c r="G89" s="541"/>
      <c r="H89" s="558"/>
      <c r="I89" s="558"/>
      <c r="J89" s="525"/>
      <c r="K89" s="517"/>
      <c r="L89" s="551"/>
      <c r="M89" s="551"/>
      <c r="N89" s="132"/>
      <c r="O89" s="92"/>
      <c r="P89" s="92"/>
      <c r="Q89" s="520"/>
      <c r="R89" s="559"/>
    </row>
    <row r="90" spans="2:18" s="543" customFormat="1" ht="11.25" customHeight="1">
      <c r="B90" s="128"/>
      <c r="C90" s="441"/>
      <c r="D90" s="132"/>
      <c r="E90" s="132"/>
      <c r="F90" s="739" t="s">
        <v>148</v>
      </c>
      <c r="G90" s="739"/>
      <c r="H90" s="739"/>
      <c r="I90" s="739"/>
      <c r="J90" s="525"/>
      <c r="K90" s="517"/>
      <c r="L90" s="556"/>
      <c r="M90" s="132"/>
      <c r="N90" s="92"/>
      <c r="O90" s="132"/>
      <c r="P90" s="132"/>
      <c r="Q90" s="520"/>
      <c r="R90" s="557"/>
    </row>
    <row r="91" spans="2:18" s="543" customFormat="1" ht="11.25" customHeight="1">
      <c r="B91" s="128"/>
      <c r="C91" s="441"/>
      <c r="D91" s="132"/>
      <c r="E91" s="132"/>
      <c r="F91" s="424"/>
      <c r="G91" s="424"/>
      <c r="H91" s="424"/>
      <c r="I91" s="424"/>
      <c r="J91" s="525"/>
      <c r="K91" s="517"/>
      <c r="L91" s="556"/>
      <c r="M91" s="132"/>
      <c r="N91" s="92"/>
      <c r="O91" s="132"/>
      <c r="P91" s="132"/>
      <c r="Q91" s="520"/>
      <c r="R91" s="557"/>
    </row>
    <row r="92" spans="1:18" s="543" customFormat="1" ht="15" customHeight="1">
      <c r="A92" s="767" t="s">
        <v>46</v>
      </c>
      <c r="B92" s="767"/>
      <c r="C92" s="767"/>
      <c r="D92" s="767"/>
      <c r="E92" s="767"/>
      <c r="F92" s="767"/>
      <c r="G92" s="1110" t="s">
        <v>45</v>
      </c>
      <c r="H92" s="985"/>
      <c r="I92" s="985"/>
      <c r="J92" s="525"/>
      <c r="K92" s="517"/>
      <c r="L92" s="556"/>
      <c r="M92" s="92"/>
      <c r="N92" s="92"/>
      <c r="O92" s="132"/>
      <c r="P92" s="132"/>
      <c r="Q92" s="520"/>
      <c r="R92" s="557"/>
    </row>
    <row r="93" spans="1:18" s="543" customFormat="1" ht="12" customHeight="1">
      <c r="A93" s="561"/>
      <c r="B93" s="561"/>
      <c r="C93" s="561"/>
      <c r="D93" s="561"/>
      <c r="E93" s="561"/>
      <c r="F93" s="561"/>
      <c r="G93" s="562"/>
      <c r="H93" s="562"/>
      <c r="I93" s="353"/>
      <c r="J93" s="525"/>
      <c r="K93" s="517"/>
      <c r="L93" s="556"/>
      <c r="M93" s="92"/>
      <c r="N93" s="92"/>
      <c r="O93" s="132"/>
      <c r="P93" s="132"/>
      <c r="Q93" s="520"/>
      <c r="R93" s="557"/>
    </row>
    <row r="94" spans="1:18" s="543" customFormat="1" ht="10.5" customHeight="1">
      <c r="A94" s="546"/>
      <c r="B94" s="128"/>
      <c r="C94" s="133"/>
      <c r="D94" s="441"/>
      <c r="E94" s="441"/>
      <c r="F94" s="441"/>
      <c r="G94" s="441"/>
      <c r="H94" s="563"/>
      <c r="I94" s="441"/>
      <c r="J94" s="525"/>
      <c r="K94" s="517"/>
      <c r="L94" s="132" t="e">
        <f>IF(утв!#REF!&lt;&gt;"",утв!#REF!,"")</f>
        <v>#REF!</v>
      </c>
      <c r="M94" s="132"/>
      <c r="N94" s="564"/>
      <c r="O94" s="92"/>
      <c r="P94" s="92"/>
      <c r="Q94" s="520"/>
      <c r="R94" s="559"/>
    </row>
    <row r="95" spans="2:18" s="543" customFormat="1" ht="15.75" customHeight="1">
      <c r="B95" s="736"/>
      <c r="C95" s="736"/>
      <c r="D95" s="736"/>
      <c r="E95" s="736"/>
      <c r="F95" s="736"/>
      <c r="G95" s="736"/>
      <c r="H95" s="736"/>
      <c r="I95" s="736"/>
      <c r="J95" s="565"/>
      <c r="K95" s="517"/>
      <c r="L95" s="556"/>
      <c r="M95" s="92"/>
      <c r="N95" s="564"/>
      <c r="O95" s="566"/>
      <c r="P95" s="567"/>
      <c r="Q95" s="520"/>
      <c r="R95" s="401"/>
    </row>
    <row r="96" spans="1:18" s="543" customFormat="1" ht="15">
      <c r="A96" s="546"/>
      <c r="B96" s="737" t="s">
        <v>537</v>
      </c>
      <c r="C96" s="737"/>
      <c r="D96" s="737"/>
      <c r="E96" s="737"/>
      <c r="F96" s="737"/>
      <c r="G96" s="737"/>
      <c r="H96" s="737"/>
      <c r="I96" s="737"/>
      <c r="J96" s="525"/>
      <c r="K96" s="517"/>
      <c r="L96" s="132" t="e">
        <f>IF(утв!#REF!&lt;&gt;"",утв!#REF!,"")</f>
        <v>#REF!</v>
      </c>
      <c r="M96" s="132"/>
      <c r="N96" s="564"/>
      <c r="O96" s="569"/>
      <c r="P96" s="570"/>
      <c r="Q96" s="520"/>
      <c r="R96" s="401"/>
    </row>
    <row r="97" spans="1:18" s="543" customFormat="1" ht="1.5" customHeight="1">
      <c r="A97" s="571" t="s">
        <v>158</v>
      </c>
      <c r="B97" s="568"/>
      <c r="C97" s="568"/>
      <c r="D97" s="568"/>
      <c r="E97" s="568"/>
      <c r="F97" s="568"/>
      <c r="G97" s="568"/>
      <c r="H97" s="568"/>
      <c r="I97" s="568"/>
      <c r="J97" s="525"/>
      <c r="K97" s="517"/>
      <c r="L97" s="132"/>
      <c r="M97" s="132"/>
      <c r="N97" s="551"/>
      <c r="O97" s="569"/>
      <c r="P97" s="570"/>
      <c r="Q97" s="520"/>
      <c r="R97" s="401"/>
    </row>
    <row r="98" spans="1:18" s="543" customFormat="1" ht="15">
      <c r="A98" s="572" t="s">
        <v>538</v>
      </c>
      <c r="C98" s="134"/>
      <c r="E98" s="573"/>
      <c r="F98" s="553">
        <f>IF('общие сведения'!K25&lt;&gt;"",'общие сведения'!K25,"")</f>
      </c>
      <c r="J98" s="540"/>
      <c r="K98" s="517"/>
      <c r="L98" s="556"/>
      <c r="M98" s="92"/>
      <c r="N98" s="562"/>
      <c r="O98" s="353"/>
      <c r="P98" s="555"/>
      <c r="Q98" s="520"/>
      <c r="R98" s="401"/>
    </row>
    <row r="99" spans="2:18" s="543" customFormat="1" ht="15">
      <c r="B99" s="353"/>
      <c r="C99" s="441"/>
      <c r="D99" s="738" t="s">
        <v>147</v>
      </c>
      <c r="E99" s="738"/>
      <c r="F99" s="738" t="s">
        <v>148</v>
      </c>
      <c r="G99" s="738"/>
      <c r="H99" s="738"/>
      <c r="I99" s="738"/>
      <c r="J99" s="525"/>
      <c r="K99" s="517"/>
      <c r="L99" s="556"/>
      <c r="M99" s="564"/>
      <c r="N99" s="562"/>
      <c r="O99" s="562"/>
      <c r="P99" s="562"/>
      <c r="Q99" s="520"/>
      <c r="R99" s="562"/>
    </row>
    <row r="100" spans="1:18" s="518" customFormat="1" ht="1.5" customHeight="1">
      <c r="A100" s="128"/>
      <c r="B100" s="346"/>
      <c r="C100" s="346"/>
      <c r="D100" s="441"/>
      <c r="E100" s="526"/>
      <c r="F100" s="526"/>
      <c r="G100" s="526"/>
      <c r="H100" s="526"/>
      <c r="I100" s="526"/>
      <c r="J100" s="525"/>
      <c r="K100" s="517"/>
      <c r="Q100" s="520"/>
      <c r="R100" s="519"/>
    </row>
  </sheetData>
  <sheetProtection sheet="1" objects="1" scenarios="1"/>
  <mergeCells count="49">
    <mergeCell ref="B1:E1"/>
    <mergeCell ref="F1:I1"/>
    <mergeCell ref="M31:N31"/>
    <mergeCell ref="A34:J34"/>
    <mergeCell ref="A35:J35"/>
    <mergeCell ref="A36:J37"/>
    <mergeCell ref="A38:J38"/>
    <mergeCell ref="A41:C41"/>
    <mergeCell ref="D41:J41"/>
    <mergeCell ref="A42:B42"/>
    <mergeCell ref="C42:J43"/>
    <mergeCell ref="A45:B45"/>
    <mergeCell ref="C45:J45"/>
    <mergeCell ref="C46:J46"/>
    <mergeCell ref="A47:C47"/>
    <mergeCell ref="D47:F47"/>
    <mergeCell ref="G47:J47"/>
    <mergeCell ref="A48:D48"/>
    <mergeCell ref="A49:D49"/>
    <mergeCell ref="E49:F49"/>
    <mergeCell ref="G49:H49"/>
    <mergeCell ref="I49:J49"/>
    <mergeCell ref="A50:D50"/>
    <mergeCell ref="E50:F50"/>
    <mergeCell ref="G50:H50"/>
    <mergeCell ref="A51:B51"/>
    <mergeCell ref="C51:F51"/>
    <mergeCell ref="A53:J56"/>
    <mergeCell ref="A59:E59"/>
    <mergeCell ref="A60:I60"/>
    <mergeCell ref="A61:J63"/>
    <mergeCell ref="A65:I65"/>
    <mergeCell ref="A66:J68"/>
    <mergeCell ref="A69:I69"/>
    <mergeCell ref="A73:H73"/>
    <mergeCell ref="A76:C76"/>
    <mergeCell ref="D76:G76"/>
    <mergeCell ref="C80:J82"/>
    <mergeCell ref="A84:C85"/>
    <mergeCell ref="A86:C87"/>
    <mergeCell ref="F86:I86"/>
    <mergeCell ref="D99:E99"/>
    <mergeCell ref="F99:I99"/>
    <mergeCell ref="F88:I88"/>
    <mergeCell ref="F90:I90"/>
    <mergeCell ref="A92:F92"/>
    <mergeCell ref="G92:I92"/>
    <mergeCell ref="B95:I95"/>
    <mergeCell ref="B96:I96"/>
  </mergeCells>
  <conditionalFormatting sqref="E85:E91 I93 G93">
    <cfRule type="cellIs" priority="10" dxfId="44" operator="notEqual" stopIfTrue="1">
      <formula>"« __ » ___________  20__ г."</formula>
    </cfRule>
  </conditionalFormatting>
  <conditionalFormatting sqref="F85 F87 F89">
    <cfRule type="cellIs" priority="9" dxfId="45" operator="equal" stopIfTrue="1">
      <formula>"нет данных"</formula>
    </cfRule>
  </conditionalFormatting>
  <conditionalFormatting sqref="B95:I97">
    <cfRule type="cellIs" priority="3" dxfId="50" operator="equal" stopIfTrue="1">
      <formula>" "</formula>
    </cfRule>
  </conditionalFormatting>
  <conditionalFormatting sqref="D76 C77 I73">
    <cfRule type="cellIs" priority="2" dxfId="45" operator="equal" stopIfTrue="1">
      <formula>"уточните должность"</formula>
    </cfRule>
  </conditionalFormatting>
  <conditionalFormatting sqref="G92:I92">
    <cfRule type="cellIs" priority="1" dxfId="51" operator="notEqual" stopIfTrue="1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&#10; -  0 баллов&#10;" sqref="C80:J82"/>
    <dataValidation allowBlank="1" showInputMessage="1" showErrorMessage="1" promptTitle="Внимание!" prompt="Введите должность на листе&#10;&quot;Общие сведения&quot;&#10;" sqref="D76 C77"/>
    <dataValidation errorStyle="information" allowBlank="1" showInputMessage="1" showErrorMessage="1" promptTitle="Внимание!" prompt="Введите данные на листе &#10;&quot;Общие сведения&quot;" sqref="I41:J48 I50:J50 G50 A49:F51 G49:I49 G51:I51 F59 E48:F48 A47:A48 C41:H45 G46:H48 C46:F47 A41:A45 B41:B47"/>
    <dataValidation allowBlank="1" showInputMessage="1" showErrorMessage="1" promptTitle="Внимание!" prompt="Введите данные на листе &#10;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F1" r:id="rId1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rintOptions/>
  <pageMargins left="0.6692913385826772" right="0.11811023622047245" top="1.2598425196850394" bottom="0.2362204724409449" header="0.5118110236220472" footer="0.2362204724409449"/>
  <pageSetup fitToHeight="15" horizontalDpi="600" verticalDpi="600" orientation="portrait" paperSize="9" scale="9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Сергей Немцов</cp:lastModifiedBy>
  <cp:lastPrinted>2018-08-20T09:29:17Z</cp:lastPrinted>
  <dcterms:created xsi:type="dcterms:W3CDTF">2012-04-17T12:38:08Z</dcterms:created>
  <dcterms:modified xsi:type="dcterms:W3CDTF">2018-11-28T11:04:50Z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